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195" windowWidth="12120" windowHeight="7875" activeTab="2"/>
  </bookViews>
  <sheets>
    <sheet name="pg1" sheetId="1" r:id="rId1"/>
    <sheet name="pg2" sheetId="2" r:id="rId2"/>
    <sheet name="pg3" sheetId="3" r:id="rId3"/>
  </sheets>
  <calcPr calcId="145621"/>
</workbook>
</file>

<file path=xl/calcChain.xml><?xml version="1.0" encoding="utf-8"?>
<calcChain xmlns="http://schemas.openxmlformats.org/spreadsheetml/2006/main">
  <c r="T6" i="1" l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U40" i="1" s="1"/>
  <c r="R6" i="1"/>
  <c r="R7" i="1"/>
  <c r="S7" i="1" s="1"/>
  <c r="V7" i="1" s="1"/>
  <c r="W7" i="1" s="1"/>
  <c r="R8" i="1"/>
  <c r="R9" i="1"/>
  <c r="S9" i="1" s="1"/>
  <c r="V9" i="1" s="1"/>
  <c r="W9" i="1" s="1"/>
  <c r="R10" i="1"/>
  <c r="R11" i="1"/>
  <c r="S11" i="1" s="1"/>
  <c r="V11" i="1" s="1"/>
  <c r="W11" i="1" s="1"/>
  <c r="R12" i="1"/>
  <c r="R13" i="1"/>
  <c r="S13" i="1" s="1"/>
  <c r="V13" i="1" s="1"/>
  <c r="W13" i="1" s="1"/>
  <c r="R14" i="1"/>
  <c r="R15" i="1"/>
  <c r="S15" i="1" s="1"/>
  <c r="V15" i="1" s="1"/>
  <c r="W15" i="1" s="1"/>
  <c r="R16" i="1"/>
  <c r="R17" i="1"/>
  <c r="S17" i="1" s="1"/>
  <c r="V17" i="1" s="1"/>
  <c r="W17" i="1" s="1"/>
  <c r="R18" i="1"/>
  <c r="R19" i="1"/>
  <c r="S19" i="1" s="1"/>
  <c r="V19" i="1" s="1"/>
  <c r="W19" i="1" s="1"/>
  <c r="R20" i="1"/>
  <c r="R21" i="1"/>
  <c r="S21" i="1" s="1"/>
  <c r="V21" i="1" s="1"/>
  <c r="W21" i="1" s="1"/>
  <c r="R22" i="1"/>
  <c r="R23" i="1"/>
  <c r="S23" i="1" s="1"/>
  <c r="V23" i="1" s="1"/>
  <c r="W23" i="1" s="1"/>
  <c r="R24" i="1"/>
  <c r="R25" i="1"/>
  <c r="S25" i="1" s="1"/>
  <c r="V25" i="1" s="1"/>
  <c r="W25" i="1" s="1"/>
  <c r="R26" i="1"/>
  <c r="R27" i="1"/>
  <c r="S27" i="1" s="1"/>
  <c r="V27" i="1" s="1"/>
  <c r="W27" i="1" s="1"/>
  <c r="R28" i="1"/>
  <c r="R29" i="1"/>
  <c r="S29" i="1" s="1"/>
  <c r="V29" i="1" s="1"/>
  <c r="W29" i="1" s="1"/>
  <c r="R30" i="1"/>
  <c r="R31" i="1"/>
  <c r="S31" i="1" s="1"/>
  <c r="V31" i="1" s="1"/>
  <c r="W31" i="1" s="1"/>
  <c r="R32" i="1"/>
  <c r="R33" i="1"/>
  <c r="S33" i="1" s="1"/>
  <c r="V33" i="1" s="1"/>
  <c r="W33" i="1" s="1"/>
  <c r="R34" i="1"/>
  <c r="R35" i="1"/>
  <c r="S35" i="1" s="1"/>
  <c r="V35" i="1" s="1"/>
  <c r="W35" i="1" s="1"/>
  <c r="R36" i="1"/>
  <c r="R37" i="1"/>
  <c r="S37" i="1" s="1"/>
  <c r="V37" i="1" s="1"/>
  <c r="W37" i="1" s="1"/>
  <c r="R38" i="1"/>
  <c r="R39" i="1"/>
  <c r="S39" i="1" s="1"/>
  <c r="V39" i="1" s="1"/>
  <c r="W39" i="1" s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S40" i="1" s="1"/>
  <c r="V40" i="1" s="1"/>
  <c r="W40" i="1" s="1"/>
  <c r="J7" i="1"/>
  <c r="J8" i="1"/>
  <c r="J10" i="1"/>
  <c r="J14" i="1"/>
  <c r="J15" i="1"/>
  <c r="J16" i="1"/>
  <c r="J18" i="1"/>
  <c r="J19" i="1"/>
  <c r="J32" i="1"/>
  <c r="J33" i="1"/>
  <c r="J40" i="1"/>
  <c r="E6" i="1"/>
  <c r="F6" i="1" s="1"/>
  <c r="G6" i="1" s="1"/>
  <c r="E9" i="1"/>
  <c r="F9" i="1" s="1"/>
  <c r="G9" i="1" s="1"/>
  <c r="E11" i="1"/>
  <c r="F11" i="1" s="1"/>
  <c r="G11" i="1" s="1"/>
  <c r="E12" i="1"/>
  <c r="F12" i="1" s="1"/>
  <c r="G12" i="1" s="1"/>
  <c r="E17" i="1"/>
  <c r="F17" i="1" s="1"/>
  <c r="G17" i="1" s="1"/>
  <c r="E20" i="1"/>
  <c r="F20" i="1" s="1"/>
  <c r="G20" i="1" s="1"/>
  <c r="E22" i="1"/>
  <c r="F22" i="1" s="1"/>
  <c r="G22" i="1" s="1"/>
  <c r="E25" i="1"/>
  <c r="F25" i="1" s="1"/>
  <c r="G25" i="1" s="1"/>
  <c r="E26" i="1"/>
  <c r="F26" i="1" s="1"/>
  <c r="G26" i="1" s="1"/>
  <c r="E28" i="1"/>
  <c r="F28" i="1" s="1"/>
  <c r="G28" i="1" s="1"/>
  <c r="E29" i="1"/>
  <c r="F29" i="1" s="1"/>
  <c r="G29" i="1" s="1"/>
  <c r="E34" i="1"/>
  <c r="F34" i="1" s="1"/>
  <c r="G34" i="1" s="1"/>
  <c r="E35" i="1"/>
  <c r="F35" i="1" s="1"/>
  <c r="G35" i="1" s="1"/>
  <c r="E37" i="1"/>
  <c r="F37" i="1" s="1"/>
  <c r="G37" i="1" s="1"/>
  <c r="N5" i="1"/>
  <c r="F29" i="2"/>
  <c r="G29" i="2"/>
  <c r="H29" i="2" s="1"/>
  <c r="F28" i="2"/>
  <c r="G28" i="2" s="1"/>
  <c r="H28" i="2" s="1"/>
  <c r="F27" i="2"/>
  <c r="G27" i="2"/>
  <c r="H27" i="2" s="1"/>
  <c r="F26" i="2"/>
  <c r="G26" i="2" s="1"/>
  <c r="H26" i="2" s="1"/>
  <c r="F25" i="2"/>
  <c r="G25" i="2"/>
  <c r="H25" i="2" s="1"/>
  <c r="F24" i="2"/>
  <c r="G24" i="2" s="1"/>
  <c r="H24" i="2" s="1"/>
  <c r="F23" i="2"/>
  <c r="G23" i="2"/>
  <c r="H23" i="2" s="1"/>
  <c r="F22" i="2"/>
  <c r="G22" i="2" s="1"/>
  <c r="H22" i="2" s="1"/>
  <c r="F21" i="2"/>
  <c r="G21" i="2"/>
  <c r="H21" i="2" s="1"/>
  <c r="F20" i="2"/>
  <c r="G20" i="2" s="1"/>
  <c r="H20" i="2" s="1"/>
  <c r="F19" i="2"/>
  <c r="G19" i="2"/>
  <c r="H19" i="2" s="1"/>
  <c r="F18" i="2"/>
  <c r="G18" i="2" s="1"/>
  <c r="H18" i="2" s="1"/>
  <c r="F17" i="2"/>
  <c r="G17" i="2" s="1"/>
  <c r="H17" i="2" s="1"/>
  <c r="F16" i="2"/>
  <c r="G16" i="2" s="1"/>
  <c r="H16" i="2" s="1"/>
  <c r="E5" i="1"/>
  <c r="F5" i="1" s="1"/>
  <c r="G5" i="1" s="1"/>
  <c r="D7" i="1"/>
  <c r="E7" i="1" s="1"/>
  <c r="F7" i="1" s="1"/>
  <c r="G7" i="1" s="1"/>
  <c r="D8" i="1"/>
  <c r="E8" i="1" s="1"/>
  <c r="F8" i="1" s="1"/>
  <c r="G8" i="1" s="1"/>
  <c r="D10" i="1"/>
  <c r="E10" i="1" s="1"/>
  <c r="F10" i="1" s="1"/>
  <c r="G10" i="1" s="1"/>
  <c r="D13" i="1"/>
  <c r="E13" i="1" s="1"/>
  <c r="F13" i="1" s="1"/>
  <c r="G13" i="1" s="1"/>
  <c r="D36" i="1"/>
  <c r="E36" i="1" s="1"/>
  <c r="F36" i="1" s="1"/>
  <c r="G36" i="1" s="1"/>
  <c r="D38" i="1"/>
  <c r="E38" i="1" s="1"/>
  <c r="F38" i="1" s="1"/>
  <c r="G38" i="1" s="1"/>
  <c r="D30" i="1"/>
  <c r="E30" i="1" s="1"/>
  <c r="F30" i="1" s="1"/>
  <c r="G30" i="1" s="1"/>
  <c r="D24" i="1"/>
  <c r="E24" i="1" s="1"/>
  <c r="F24" i="1" s="1"/>
  <c r="G24" i="1" s="1"/>
  <c r="D23" i="1"/>
  <c r="E23" i="1" s="1"/>
  <c r="F23" i="1" s="1"/>
  <c r="G23" i="1" s="1"/>
  <c r="D21" i="1"/>
  <c r="E21" i="1" s="1"/>
  <c r="F21" i="1" s="1"/>
  <c r="G21" i="1" s="1"/>
  <c r="D19" i="1"/>
  <c r="E19" i="1" s="1"/>
  <c r="F19" i="1" s="1"/>
  <c r="G19" i="1" s="1"/>
  <c r="D18" i="1"/>
  <c r="E18" i="1" s="1"/>
  <c r="F18" i="1" s="1"/>
  <c r="G18" i="1" s="1"/>
  <c r="D16" i="1"/>
  <c r="E16" i="1" s="1"/>
  <c r="F16" i="1" s="1"/>
  <c r="G16" i="1" s="1"/>
  <c r="D15" i="1"/>
  <c r="E15" i="1" s="1"/>
  <c r="F15" i="1" s="1"/>
  <c r="G15" i="1" s="1"/>
  <c r="D14" i="1"/>
  <c r="E14" i="1" s="1"/>
  <c r="F14" i="1" s="1"/>
  <c r="G14" i="1" s="1"/>
  <c r="T5" i="1"/>
  <c r="U5" i="1" s="1"/>
  <c r="R5" i="1"/>
  <c r="J5" i="1"/>
  <c r="S5" i="1"/>
  <c r="V5" i="1"/>
  <c r="W5" i="1" s="1"/>
  <c r="I14" i="1" l="1"/>
  <c r="H14" i="1"/>
  <c r="K14" i="1" s="1"/>
  <c r="I16" i="1"/>
  <c r="H16" i="1"/>
  <c r="K16" i="1" s="1"/>
  <c r="H19" i="1"/>
  <c r="K19" i="1" s="1"/>
  <c r="X19" i="1" s="1"/>
  <c r="I19" i="1"/>
  <c r="H23" i="1"/>
  <c r="K23" i="1" s="1"/>
  <c r="X23" i="1" s="1"/>
  <c r="I23" i="1"/>
  <c r="I30" i="1"/>
  <c r="H30" i="1"/>
  <c r="K30" i="1" s="1"/>
  <c r="I36" i="1"/>
  <c r="H36" i="1"/>
  <c r="K36" i="1" s="1"/>
  <c r="I10" i="1"/>
  <c r="H10" i="1"/>
  <c r="K10" i="1" s="1"/>
  <c r="H7" i="1"/>
  <c r="K7" i="1" s="1"/>
  <c r="X7" i="1" s="1"/>
  <c r="I7" i="1"/>
  <c r="I35" i="1"/>
  <c r="H35" i="1"/>
  <c r="K35" i="1" s="1"/>
  <c r="X35" i="1" s="1"/>
  <c r="H29" i="1"/>
  <c r="K29" i="1" s="1"/>
  <c r="X29" i="1" s="1"/>
  <c r="I29" i="1"/>
  <c r="I26" i="1"/>
  <c r="H26" i="1"/>
  <c r="K26" i="1" s="1"/>
  <c r="I22" i="1"/>
  <c r="H22" i="1"/>
  <c r="K22" i="1" s="1"/>
  <c r="H17" i="1"/>
  <c r="K17" i="1" s="1"/>
  <c r="X17" i="1" s="1"/>
  <c r="I17" i="1"/>
  <c r="H11" i="1"/>
  <c r="K11" i="1" s="1"/>
  <c r="X11" i="1" s="1"/>
  <c r="I11" i="1"/>
  <c r="I6" i="1"/>
  <c r="H6" i="1"/>
  <c r="K6" i="1" s="1"/>
  <c r="H15" i="1"/>
  <c r="K15" i="1" s="1"/>
  <c r="X15" i="1" s="1"/>
  <c r="I15" i="1"/>
  <c r="I18" i="1"/>
  <c r="H18" i="1"/>
  <c r="K18" i="1" s="1"/>
  <c r="H21" i="1"/>
  <c r="K21" i="1" s="1"/>
  <c r="X21" i="1" s="1"/>
  <c r="I21" i="1"/>
  <c r="I24" i="1"/>
  <c r="H24" i="1"/>
  <c r="K24" i="1" s="1"/>
  <c r="I38" i="1"/>
  <c r="H38" i="1"/>
  <c r="K38" i="1" s="1"/>
  <c r="H13" i="1"/>
  <c r="K13" i="1" s="1"/>
  <c r="X13" i="1" s="1"/>
  <c r="I13" i="1"/>
  <c r="I8" i="1"/>
  <c r="H8" i="1"/>
  <c r="K8" i="1" s="1"/>
  <c r="H5" i="1"/>
  <c r="K5" i="1" s="1"/>
  <c r="X5" i="1" s="1"/>
  <c r="I5" i="1"/>
  <c r="H37" i="1"/>
  <c r="K37" i="1" s="1"/>
  <c r="X37" i="1" s="1"/>
  <c r="I37" i="1"/>
  <c r="I34" i="1"/>
  <c r="H34" i="1"/>
  <c r="K34" i="1" s="1"/>
  <c r="I28" i="1"/>
  <c r="H28" i="1"/>
  <c r="K28" i="1" s="1"/>
  <c r="H25" i="1"/>
  <c r="K25" i="1" s="1"/>
  <c r="X25" i="1" s="1"/>
  <c r="I25" i="1"/>
  <c r="I20" i="1"/>
  <c r="H20" i="1"/>
  <c r="K20" i="1" s="1"/>
  <c r="I12" i="1"/>
  <c r="H12" i="1"/>
  <c r="K12" i="1" s="1"/>
  <c r="H9" i="1"/>
  <c r="K9" i="1" s="1"/>
  <c r="X9" i="1" s="1"/>
  <c r="I9" i="1"/>
  <c r="D27" i="1"/>
  <c r="S38" i="1"/>
  <c r="V38" i="1" s="1"/>
  <c r="W38" i="1" s="1"/>
  <c r="S36" i="1"/>
  <c r="V36" i="1" s="1"/>
  <c r="W36" i="1" s="1"/>
  <c r="S34" i="1"/>
  <c r="V34" i="1" s="1"/>
  <c r="W34" i="1" s="1"/>
  <c r="S32" i="1"/>
  <c r="V32" i="1" s="1"/>
  <c r="W32" i="1" s="1"/>
  <c r="S30" i="1"/>
  <c r="V30" i="1" s="1"/>
  <c r="W30" i="1" s="1"/>
  <c r="S28" i="1"/>
  <c r="V28" i="1" s="1"/>
  <c r="W28" i="1" s="1"/>
  <c r="S26" i="1"/>
  <c r="V26" i="1" s="1"/>
  <c r="W26" i="1" s="1"/>
  <c r="S24" i="1"/>
  <c r="V24" i="1" s="1"/>
  <c r="W24" i="1" s="1"/>
  <c r="S22" i="1"/>
  <c r="V22" i="1" s="1"/>
  <c r="W22" i="1" s="1"/>
  <c r="S20" i="1"/>
  <c r="V20" i="1" s="1"/>
  <c r="W20" i="1" s="1"/>
  <c r="S18" i="1"/>
  <c r="V18" i="1" s="1"/>
  <c r="W18" i="1" s="1"/>
  <c r="S16" i="1"/>
  <c r="V16" i="1" s="1"/>
  <c r="W16" i="1" s="1"/>
  <c r="S14" i="1"/>
  <c r="V14" i="1" s="1"/>
  <c r="W14" i="1" s="1"/>
  <c r="S12" i="1"/>
  <c r="V12" i="1" s="1"/>
  <c r="W12" i="1" s="1"/>
  <c r="S10" i="1"/>
  <c r="V10" i="1" s="1"/>
  <c r="W10" i="1" s="1"/>
  <c r="S8" i="1"/>
  <c r="V8" i="1" s="1"/>
  <c r="W8" i="1" s="1"/>
  <c r="S6" i="1"/>
  <c r="V6" i="1" s="1"/>
  <c r="W6" i="1" s="1"/>
  <c r="U39" i="1"/>
  <c r="U37" i="1"/>
  <c r="U35" i="1"/>
  <c r="U33" i="1"/>
  <c r="U31" i="1"/>
  <c r="U29" i="1"/>
  <c r="U27" i="1"/>
  <c r="U25" i="1"/>
  <c r="U23" i="1"/>
  <c r="U21" i="1"/>
  <c r="U19" i="1"/>
  <c r="U17" i="1"/>
  <c r="U15" i="1"/>
  <c r="U13" i="1"/>
  <c r="U11" i="1"/>
  <c r="U9" i="1"/>
  <c r="U7" i="1"/>
  <c r="AA5" i="1"/>
  <c r="D39" i="1"/>
  <c r="U38" i="1"/>
  <c r="U36" i="1"/>
  <c r="U34" i="1"/>
  <c r="U32" i="1"/>
  <c r="U30" i="1"/>
  <c r="U28" i="1"/>
  <c r="U26" i="1"/>
  <c r="U24" i="1"/>
  <c r="U22" i="1"/>
  <c r="U20" i="1"/>
  <c r="U18" i="1"/>
  <c r="U16" i="1"/>
  <c r="U14" i="1"/>
  <c r="U12" i="1"/>
  <c r="U10" i="1"/>
  <c r="U8" i="1"/>
  <c r="U6" i="1"/>
  <c r="X12" i="1" l="1"/>
  <c r="X20" i="1"/>
  <c r="X28" i="1"/>
  <c r="X34" i="1"/>
  <c r="X8" i="1"/>
  <c r="X38" i="1"/>
  <c r="X24" i="1"/>
  <c r="X18" i="1"/>
  <c r="X6" i="1"/>
  <c r="X22" i="1"/>
  <c r="X26" i="1"/>
  <c r="Y35" i="1"/>
  <c r="AC35" i="1" s="1"/>
  <c r="X10" i="1"/>
  <c r="X36" i="1"/>
  <c r="X30" i="1"/>
  <c r="X16" i="1"/>
  <c r="X14" i="1"/>
  <c r="E39" i="1"/>
  <c r="F39" i="1" s="1"/>
  <c r="G39" i="1" s="1"/>
  <c r="D31" i="1"/>
  <c r="E27" i="1"/>
  <c r="F27" i="1" s="1"/>
  <c r="G27" i="1" s="1"/>
  <c r="Y9" i="1"/>
  <c r="AC9" i="1" s="1"/>
  <c r="Y25" i="1"/>
  <c r="AC25" i="1" s="1"/>
  <c r="Y37" i="1"/>
  <c r="AC37" i="1"/>
  <c r="Y5" i="1"/>
  <c r="AC5" i="1"/>
  <c r="AB5" i="1"/>
  <c r="AC13" i="1"/>
  <c r="Y13" i="1"/>
  <c r="AC21" i="1"/>
  <c r="Y21" i="1"/>
  <c r="AC15" i="1"/>
  <c r="Y15" i="1"/>
  <c r="AC11" i="1"/>
  <c r="Y11" i="1"/>
  <c r="AC17" i="1"/>
  <c r="Y17" i="1"/>
  <c r="AC29" i="1"/>
  <c r="Y29" i="1"/>
  <c r="AC7" i="1"/>
  <c r="Y7" i="1"/>
  <c r="AC23" i="1"/>
  <c r="Y23" i="1"/>
  <c r="AC19" i="1"/>
  <c r="Y19" i="1"/>
  <c r="I27" i="1" l="1"/>
  <c r="H27" i="1"/>
  <c r="K27" i="1" s="1"/>
  <c r="X27" i="1" s="1"/>
  <c r="Y14" i="1"/>
  <c r="AC14" i="1"/>
  <c r="Y30" i="1"/>
  <c r="AC30" i="1"/>
  <c r="Y10" i="1"/>
  <c r="AC10" i="1"/>
  <c r="Y22" i="1"/>
  <c r="AC22" i="1"/>
  <c r="Y18" i="1"/>
  <c r="AC18" i="1"/>
  <c r="Y38" i="1"/>
  <c r="AC38" i="1"/>
  <c r="Y34" i="1"/>
  <c r="AC34" i="1"/>
  <c r="Y20" i="1"/>
  <c r="AC20" i="1"/>
  <c r="D32" i="1"/>
  <c r="E31" i="1"/>
  <c r="F31" i="1" s="1"/>
  <c r="G31" i="1" s="1"/>
  <c r="I39" i="1"/>
  <c r="H39" i="1"/>
  <c r="K39" i="1" s="1"/>
  <c r="X39" i="1" s="1"/>
  <c r="Y16" i="1"/>
  <c r="AC16" i="1"/>
  <c r="Y36" i="1"/>
  <c r="AC36" i="1"/>
  <c r="Y26" i="1"/>
  <c r="AC26" i="1"/>
  <c r="Y6" i="1"/>
  <c r="AC6" i="1"/>
  <c r="Y24" i="1"/>
  <c r="AC24" i="1"/>
  <c r="Y8" i="1"/>
  <c r="AC8" i="1"/>
  <c r="Y28" i="1"/>
  <c r="AC28" i="1"/>
  <c r="Y12" i="1"/>
  <c r="AC12" i="1"/>
  <c r="I31" i="1" l="1"/>
  <c r="H31" i="1"/>
  <c r="K31" i="1" s="1"/>
  <c r="X31" i="1" s="1"/>
  <c r="AC27" i="1"/>
  <c r="Y27" i="1"/>
  <c r="Y39" i="1"/>
  <c r="AC39" i="1" s="1"/>
  <c r="E32" i="1"/>
  <c r="F32" i="1" s="1"/>
  <c r="G32" i="1" s="1"/>
  <c r="D33" i="1"/>
  <c r="I32" i="1" l="1"/>
  <c r="H32" i="1"/>
  <c r="K32" i="1" s="1"/>
  <c r="X32" i="1" s="1"/>
  <c r="E33" i="1"/>
  <c r="F33" i="1" s="1"/>
  <c r="G33" i="1" s="1"/>
  <c r="D40" i="1"/>
  <c r="E40" i="1" s="1"/>
  <c r="F40" i="1" s="1"/>
  <c r="G40" i="1" s="1"/>
  <c r="AC31" i="1"/>
  <c r="Y31" i="1"/>
  <c r="H33" i="1" l="1"/>
  <c r="K33" i="1" s="1"/>
  <c r="X33" i="1" s="1"/>
  <c r="I33" i="1"/>
  <c r="I40" i="1"/>
  <c r="H40" i="1"/>
  <c r="K40" i="1" s="1"/>
  <c r="X40" i="1" s="1"/>
  <c r="AC40" i="1" s="1"/>
  <c r="Y32" i="1"/>
  <c r="AC32" i="1" s="1"/>
  <c r="Y33" i="1" l="1"/>
  <c r="AC33" i="1" s="1"/>
</calcChain>
</file>

<file path=xl/sharedStrings.xml><?xml version="1.0" encoding="utf-8"?>
<sst xmlns="http://schemas.openxmlformats.org/spreadsheetml/2006/main" count="126" uniqueCount="102">
  <si>
    <t>Line</t>
  </si>
  <si>
    <t>Area seved</t>
  </si>
  <si>
    <t>future pop</t>
  </si>
  <si>
    <t>Wat. Cons</t>
  </si>
  <si>
    <t>Domestic ww</t>
  </si>
  <si>
    <t>Indust</t>
  </si>
  <si>
    <t>Design</t>
  </si>
  <si>
    <t>Length</t>
  </si>
  <si>
    <t>min dia</t>
  </si>
  <si>
    <t>min slope</t>
  </si>
  <si>
    <t>G.L (m)</t>
  </si>
  <si>
    <t>ground slope</t>
  </si>
  <si>
    <t>used slope</t>
  </si>
  <si>
    <t>I.L (m)</t>
  </si>
  <si>
    <t>Full flow</t>
  </si>
  <si>
    <t>Partial flow</t>
  </si>
  <si>
    <t>Remarks</t>
  </si>
  <si>
    <t>Comments</t>
  </si>
  <si>
    <t>Vfull</t>
  </si>
  <si>
    <t>Qfull</t>
  </si>
  <si>
    <t>q/Q</t>
  </si>
  <si>
    <t>h/D</t>
  </si>
  <si>
    <t>v/V</t>
  </si>
  <si>
    <t>Velocity</t>
  </si>
  <si>
    <t>Partial</t>
  </si>
  <si>
    <t>cum</t>
  </si>
  <si>
    <t>no</t>
  </si>
  <si>
    <t>m3/d</t>
  </si>
  <si>
    <t>Qav(l/s)</t>
  </si>
  <si>
    <t>Qmax(l/s)</t>
  </si>
  <si>
    <t>Qmin(l/s)</t>
  </si>
  <si>
    <t>Qind(l/s)</t>
  </si>
  <si>
    <t>Qdes(l/s)</t>
  </si>
  <si>
    <t>m</t>
  </si>
  <si>
    <t>mm</t>
  </si>
  <si>
    <t>%o</t>
  </si>
  <si>
    <t>up</t>
  </si>
  <si>
    <t>down</t>
  </si>
  <si>
    <t>m/s</t>
  </si>
  <si>
    <t>l/s</t>
  </si>
  <si>
    <t>1--2</t>
  </si>
  <si>
    <t>4--3</t>
  </si>
  <si>
    <t>5--2</t>
  </si>
  <si>
    <t>14--16</t>
  </si>
  <si>
    <t>16--18</t>
  </si>
  <si>
    <t>17--21</t>
  </si>
  <si>
    <t>END</t>
  </si>
  <si>
    <t>2-2a</t>
  </si>
  <si>
    <t>2a-3</t>
  </si>
  <si>
    <t>3--9</t>
  </si>
  <si>
    <t>6--8</t>
  </si>
  <si>
    <t>7--8</t>
  </si>
  <si>
    <t>8--9</t>
  </si>
  <si>
    <t>9--9a</t>
  </si>
  <si>
    <t>9a--9b</t>
  </si>
  <si>
    <t>9b--11</t>
  </si>
  <si>
    <t>10--11</t>
  </si>
  <si>
    <t>11--12</t>
  </si>
  <si>
    <t>12--19</t>
  </si>
  <si>
    <t>13-13a</t>
  </si>
  <si>
    <t>13a-14</t>
  </si>
  <si>
    <t>15--16</t>
  </si>
  <si>
    <t>7--16</t>
  </si>
  <si>
    <t>17--18</t>
  </si>
  <si>
    <t>10--10a</t>
  </si>
  <si>
    <t>10a--18</t>
  </si>
  <si>
    <t>18--19</t>
  </si>
  <si>
    <t>19--19a</t>
  </si>
  <si>
    <t>19a--22</t>
  </si>
  <si>
    <t>13-20</t>
  </si>
  <si>
    <t>15--20</t>
  </si>
  <si>
    <t>20-21</t>
  </si>
  <si>
    <t>21-21a</t>
  </si>
  <si>
    <t>21a-22</t>
  </si>
  <si>
    <t>5--5a</t>
  </si>
  <si>
    <t>5a-14</t>
  </si>
  <si>
    <t>Dmin</t>
  </si>
  <si>
    <t>min slop %0</t>
  </si>
  <si>
    <t>velocity Vf(m/s)</t>
  </si>
  <si>
    <t>flow Qf (l/s)</t>
  </si>
  <si>
    <t>.</t>
  </si>
  <si>
    <t>q</t>
  </si>
  <si>
    <t>h</t>
  </si>
  <si>
    <t>V</t>
  </si>
  <si>
    <t>R</t>
  </si>
  <si>
    <t>&lt;7</t>
  </si>
  <si>
    <t>D</t>
  </si>
  <si>
    <r>
      <t xml:space="preserve">,747 </t>
    </r>
    <r>
      <rPr>
        <vertAlign val="subscript"/>
        <sz val="10"/>
        <rFont val="Courier New"/>
        <family val="3"/>
      </rPr>
      <t>j</t>
    </r>
  </si>
  <si>
    <r>
      <t xml:space="preserve">,751 </t>
    </r>
    <r>
      <rPr>
        <i/>
        <sz val="10"/>
        <rFont val="Courier New"/>
        <family val="3"/>
      </rPr>
      <t>'</t>
    </r>
  </si>
  <si>
    <t>L4</t>
  </si>
  <si>
    <t>0,400)</t>
  </si>
  <si>
    <t>CO,95.</t>
  </si>
  <si>
    <t>,808-</t>
  </si>
  <si>
    <t>. 38</t>
  </si>
  <si>
    <t>0.,50</t>
  </si>
  <si>
    <t>i 0,500</t>
  </si>
  <si>
    <t>1,00.</t>
  </si>
  <si>
    <t>:607</t>
  </si>
  <si>
    <t>,70.</t>
  </si>
  <si>
    <t>-  ,180</t>
  </si>
  <si>
    <t>0,200.</t>
  </si>
  <si>
    <t>By Zakaria Al-Mutawakel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</si>
</sst>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charset val="178"/>
      <scheme val="minor"/>
    </font>
    <font>
      <b/>
      <sz val="11"/>
      <color indexed="56"/>
      <name val="Arial"/>
      <family val="2"/>
    </font>
    <font>
      <b/>
      <sz val="8"/>
      <color indexed="56"/>
      <name val="Arial"/>
      <family val="2"/>
    </font>
    <font>
      <sz val="10"/>
      <color indexed="56"/>
      <name val="Arial"/>
      <family val="2"/>
      <charset val="178"/>
    </font>
    <font>
      <sz val="10"/>
      <color indexed="56"/>
      <name val="Arial"/>
      <family val="2"/>
    </font>
    <font>
      <sz val="8"/>
      <color indexed="56"/>
      <name val="Arial"/>
      <family val="2"/>
    </font>
    <font>
      <sz val="11"/>
      <color indexed="8"/>
      <name val="Arial"/>
      <family val="2"/>
    </font>
    <font>
      <sz val="11"/>
      <color indexed="8"/>
      <name val="Dutch801 Rm BT"/>
      <family val="1"/>
    </font>
    <font>
      <i/>
      <sz val="11"/>
      <name val="Courier New"/>
      <family val="3"/>
    </font>
    <font>
      <i/>
      <sz val="12"/>
      <name val="Courier New"/>
      <family val="3"/>
    </font>
    <font>
      <sz val="8"/>
      <name val="Courier New"/>
      <family val="3"/>
    </font>
    <font>
      <sz val="11"/>
      <name val="Courier New"/>
      <family val="3"/>
    </font>
    <font>
      <i/>
      <sz val="10"/>
      <name val="Courier New"/>
      <family val="3"/>
    </font>
    <font>
      <sz val="10"/>
      <name val="Courier New"/>
      <family val="3"/>
    </font>
    <font>
      <vertAlign val="subscript"/>
      <sz val="10"/>
      <name val="Courier New"/>
      <family val="3"/>
    </font>
    <font>
      <sz val="10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  <charset val="178"/>
    </font>
    <font>
      <sz val="11"/>
      <color theme="3" tint="-0.499984740745262"/>
      <name val="Calibri"/>
      <family val="2"/>
      <charset val="17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7" tint="0.39994506668294322"/>
        <bgColor theme="6" tint="0.59996337778862885"/>
      </patternFill>
    </fill>
    <fill>
      <gradientFill degree="90">
        <stop position="0">
          <color theme="0"/>
        </stop>
        <stop position="1">
          <color theme="4"/>
        </stop>
      </gradient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3">
    <xf numFmtId="0" fontId="0" fillId="0" borderId="0"/>
    <xf numFmtId="0" fontId="18" fillId="5" borderId="1" applyBorder="0">
      <alignment horizontal="center" vertical="center"/>
    </xf>
    <xf numFmtId="0" fontId="18" fillId="6" borderId="1" applyBorder="0">
      <alignment horizontal="center" vertical="center"/>
    </xf>
  </cellStyleXfs>
  <cellXfs count="85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4" xfId="0" applyFont="1" applyBorder="1"/>
    <xf numFmtId="0" fontId="7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5" xfId="0" applyNumberFormat="1" applyFont="1" applyFill="1" applyBorder="1" applyAlignment="1" applyProtection="1">
      <alignment horizontal="left" vertical="top" indent="1"/>
    </xf>
    <xf numFmtId="0" fontId="9" fillId="0" borderId="6" xfId="0" applyNumberFormat="1" applyFont="1" applyFill="1" applyBorder="1" applyAlignment="1" applyProtection="1">
      <alignment horizontal="left" vertical="top" indent="2"/>
    </xf>
    <xf numFmtId="0" fontId="10" fillId="0" borderId="7" xfId="0" applyNumberFormat="1" applyFont="1" applyFill="1" applyBorder="1" applyAlignment="1" applyProtection="1">
      <alignment horizontal="left" vertical="top" indent="1"/>
    </xf>
    <xf numFmtId="0" fontId="8" fillId="0" borderId="7" xfId="0" applyNumberFormat="1" applyFont="1" applyFill="1" applyBorder="1" applyAlignment="1" applyProtection="1">
      <alignment horizontal="left" vertical="top" indent="1"/>
    </xf>
    <xf numFmtId="0" fontId="9" fillId="0" borderId="6" xfId="0" applyNumberFormat="1" applyFont="1" applyFill="1" applyBorder="1" applyAlignment="1" applyProtection="1">
      <alignment horizontal="left" vertical="top" indent="1"/>
    </xf>
    <xf numFmtId="0" fontId="11" fillId="0" borderId="7" xfId="0" applyNumberFormat="1" applyFont="1" applyFill="1" applyBorder="1" applyAlignment="1" applyProtection="1">
      <alignment horizontal="left" vertical="top" indent="1"/>
    </xf>
    <xf numFmtId="0" fontId="9" fillId="0" borderId="6" xfId="0" applyNumberFormat="1" applyFont="1" applyFill="1" applyBorder="1" applyAlignment="1" applyProtection="1">
      <alignment horizontal="left" vertical="top" indent="3"/>
    </xf>
    <xf numFmtId="0" fontId="10" fillId="0" borderId="7" xfId="0" applyNumberFormat="1" applyFont="1" applyFill="1" applyBorder="1" applyAlignment="1" applyProtection="1">
      <alignment horizontal="left" vertical="top" indent="2"/>
    </xf>
    <xf numFmtId="0" fontId="9" fillId="0" borderId="8" xfId="0" applyNumberFormat="1" applyFont="1" applyFill="1" applyBorder="1" applyAlignment="1" applyProtection="1">
      <alignment horizontal="left" vertical="top" indent="2"/>
    </xf>
    <xf numFmtId="0" fontId="12" fillId="0" borderId="9" xfId="0" applyNumberFormat="1" applyFont="1" applyFill="1" applyBorder="1" applyAlignment="1" applyProtection="1">
      <alignment horizontal="left" vertical="top" indent="1"/>
    </xf>
    <xf numFmtId="0" fontId="9" fillId="0" borderId="7" xfId="0" applyNumberFormat="1" applyFont="1" applyFill="1" applyBorder="1" applyAlignment="1" applyProtection="1">
      <alignment horizontal="left" vertical="top" indent="2"/>
    </xf>
    <xf numFmtId="0" fontId="9" fillId="0" borderId="3" xfId="0" applyNumberFormat="1" applyFont="1" applyFill="1" applyBorder="1" applyAlignment="1" applyProtection="1">
      <alignment horizontal="left" vertical="top" indent="1"/>
    </xf>
    <xf numFmtId="0" fontId="12" fillId="0" borderId="3" xfId="0" applyNumberFormat="1" applyFont="1" applyFill="1" applyBorder="1" applyAlignment="1" applyProtection="1">
      <alignment horizontal="left" vertical="top" indent="1"/>
    </xf>
    <xf numFmtId="0" fontId="9" fillId="0" borderId="7" xfId="0" applyNumberFormat="1" applyFont="1" applyFill="1" applyBorder="1" applyAlignment="1" applyProtection="1">
      <alignment horizontal="left" vertical="top" indent="1"/>
    </xf>
    <xf numFmtId="0" fontId="9" fillId="0" borderId="3" xfId="0" applyNumberFormat="1" applyFont="1" applyFill="1" applyBorder="1" applyAlignment="1" applyProtection="1">
      <alignment horizontal="right" vertical="top"/>
    </xf>
    <xf numFmtId="0" fontId="9" fillId="0" borderId="10" xfId="0" applyNumberFormat="1" applyFont="1" applyFill="1" applyBorder="1" applyAlignment="1" applyProtection="1">
      <alignment horizontal="left" vertical="top" indent="2"/>
    </xf>
    <xf numFmtId="0" fontId="13" fillId="0" borderId="11" xfId="0" applyNumberFormat="1" applyFont="1" applyFill="1" applyBorder="1" applyAlignment="1" applyProtection="1">
      <alignment horizontal="right" vertical="top"/>
    </xf>
    <xf numFmtId="0" fontId="13" fillId="0" borderId="12" xfId="0" applyNumberFormat="1" applyFont="1" applyFill="1" applyBorder="1" applyAlignment="1" applyProtection="1">
      <alignment horizontal="right" vertical="top"/>
    </xf>
    <xf numFmtId="0" fontId="13" fillId="0" borderId="13" xfId="0" applyNumberFormat="1" applyFont="1" applyFill="1" applyBorder="1" applyAlignment="1" applyProtection="1">
      <alignment horizontal="right" vertical="top"/>
    </xf>
    <xf numFmtId="0" fontId="13" fillId="0" borderId="14" xfId="0" applyNumberFormat="1" applyFont="1" applyFill="1" applyBorder="1" applyAlignment="1" applyProtection="1">
      <alignment horizontal="right" vertical="top"/>
    </xf>
    <xf numFmtId="0" fontId="13" fillId="0" borderId="6" xfId="0" applyNumberFormat="1" applyFont="1" applyFill="1" applyBorder="1" applyAlignment="1" applyProtection="1">
      <alignment horizontal="right" vertical="top"/>
    </xf>
    <xf numFmtId="0" fontId="13" fillId="0" borderId="8" xfId="0" applyNumberFormat="1" applyFont="1" applyFill="1" applyBorder="1" applyAlignment="1" applyProtection="1">
      <alignment horizontal="right" vertical="top"/>
    </xf>
    <xf numFmtId="0" fontId="13" fillId="0" borderId="5" xfId="0" applyNumberFormat="1" applyFont="1" applyFill="1" applyBorder="1" applyAlignment="1" applyProtection="1">
      <alignment horizontal="right" vertical="top"/>
    </xf>
    <xf numFmtId="0" fontId="13" fillId="0" borderId="7" xfId="0" applyNumberFormat="1" applyFont="1" applyFill="1" applyBorder="1" applyAlignment="1" applyProtection="1">
      <alignment horizontal="right" vertical="top"/>
    </xf>
    <xf numFmtId="0" fontId="13" fillId="0" borderId="10" xfId="0" applyNumberFormat="1" applyFont="1" applyFill="1" applyBorder="1" applyAlignment="1" applyProtection="1">
      <alignment horizontal="right" vertical="top"/>
    </xf>
    <xf numFmtId="0" fontId="11" fillId="0" borderId="14" xfId="0" applyNumberFormat="1" applyFont="1" applyFill="1" applyBorder="1" applyAlignment="1" applyProtection="1">
      <alignment horizontal="right" vertical="top"/>
    </xf>
    <xf numFmtId="0" fontId="13" fillId="0" borderId="6" xfId="0" applyNumberFormat="1" applyFont="1" applyFill="1" applyBorder="1" applyAlignment="1" applyProtection="1">
      <alignment horizontal="left" vertical="top" indent="2"/>
    </xf>
    <xf numFmtId="0" fontId="11" fillId="0" borderId="6" xfId="0" applyNumberFormat="1" applyFont="1" applyFill="1" applyBorder="1" applyAlignment="1" applyProtection="1">
      <alignment horizontal="right" vertical="top"/>
    </xf>
    <xf numFmtId="0" fontId="13" fillId="0" borderId="7" xfId="0" applyNumberFormat="1" applyFont="1" applyFill="1" applyBorder="1" applyAlignment="1" applyProtection="1">
      <alignment horizontal="left" vertical="top" indent="1"/>
    </xf>
    <xf numFmtId="0" fontId="11" fillId="0" borderId="11" xfId="0" applyNumberFormat="1" applyFont="1" applyFill="1" applyBorder="1" applyAlignment="1" applyProtection="1">
      <alignment horizontal="right" vertical="top"/>
    </xf>
    <xf numFmtId="0" fontId="13" fillId="0" borderId="7" xfId="0" applyNumberFormat="1" applyFont="1" applyFill="1" applyBorder="1" applyAlignment="1" applyProtection="1">
      <alignment horizontal="left" vertical="top" indent="2"/>
    </xf>
    <xf numFmtId="0" fontId="15" fillId="0" borderId="8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3" fillId="0" borderId="5" xfId="0" applyNumberFormat="1" applyFont="1" applyFill="1" applyBorder="1" applyAlignment="1" applyProtection="1">
      <alignment horizontal="left" vertical="top" indent="1"/>
    </xf>
    <xf numFmtId="0" fontId="11" fillId="0" borderId="7" xfId="0" applyNumberFormat="1" applyFont="1" applyFill="1" applyBorder="1" applyAlignment="1" applyProtection="1">
      <alignment horizontal="right" vertical="top"/>
    </xf>
    <xf numFmtId="0" fontId="11" fillId="0" borderId="12" xfId="0" applyNumberFormat="1" applyFont="1" applyFill="1" applyBorder="1" applyAlignment="1" applyProtection="1">
      <alignment horizontal="right" vertical="top"/>
    </xf>
    <xf numFmtId="0" fontId="13" fillId="0" borderId="14" xfId="0" applyNumberFormat="1" applyFont="1" applyFill="1" applyBorder="1" applyAlignment="1" applyProtection="1">
      <alignment horizontal="left" vertical="top" indent="1"/>
    </xf>
    <xf numFmtId="0" fontId="0" fillId="0" borderId="0" xfId="0" applyBorder="1"/>
    <xf numFmtId="0" fontId="1" fillId="0" borderId="7" xfId="0" applyFont="1" applyBorder="1" applyAlignment="1">
      <alignment horizontal="center"/>
    </xf>
    <xf numFmtId="0" fontId="18" fillId="3" borderId="17" xfId="2" applyFill="1" applyBorder="1">
      <alignment horizontal="center" vertical="center"/>
    </xf>
    <xf numFmtId="0" fontId="18" fillId="3" borderId="3" xfId="2" applyFill="1" applyBorder="1">
      <alignment horizontal="center" vertical="center"/>
    </xf>
    <xf numFmtId="0" fontId="1" fillId="3" borderId="3" xfId="2" applyFont="1" applyFill="1" applyBorder="1">
      <alignment horizontal="center" vertical="center"/>
    </xf>
    <xf numFmtId="17" fontId="0" fillId="4" borderId="15" xfId="0" applyNumberFormat="1" applyFill="1" applyBorder="1" applyAlignment="1">
      <alignment horizontal="center"/>
    </xf>
    <xf numFmtId="0" fontId="6" fillId="0" borderId="3" xfId="0" applyFont="1" applyBorder="1" applyAlignment="1">
      <alignment horizontal="center" vertical="center" readingOrder="1"/>
    </xf>
    <xf numFmtId="1" fontId="1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/>
    <xf numFmtId="0" fontId="1" fillId="0" borderId="19" xfId="0" applyFont="1" applyBorder="1" applyAlignment="1">
      <alignment horizontal="center"/>
    </xf>
    <xf numFmtId="16" fontId="0" fillId="4" borderId="15" xfId="0" applyNumberForma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1" fillId="0" borderId="3" xfId="0" applyFont="1" applyFill="1" applyBorder="1"/>
    <xf numFmtId="0" fontId="0" fillId="0" borderId="3" xfId="0" applyFill="1" applyBorder="1"/>
    <xf numFmtId="0" fontId="0" fillId="0" borderId="3" xfId="0" applyBorder="1"/>
    <xf numFmtId="0" fontId="0" fillId="4" borderId="20" xfId="0" applyFill="1" applyBorder="1" applyAlignment="1">
      <alignment horizontal="center"/>
    </xf>
    <xf numFmtId="0" fontId="6" fillId="0" borderId="4" xfId="0" applyFont="1" applyBorder="1" applyAlignment="1">
      <alignment horizontal="center" vertical="center" readingOrder="1"/>
    </xf>
    <xf numFmtId="0" fontId="0" fillId="0" borderId="4" xfId="0" applyBorder="1"/>
    <xf numFmtId="1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" fillId="3" borderId="17" xfId="2" applyFont="1" applyFill="1" applyBorder="1">
      <alignment horizontal="center" vertical="center"/>
    </xf>
    <xf numFmtId="0" fontId="2" fillId="3" borderId="3" xfId="2" applyFont="1" applyFill="1" applyBorder="1">
      <alignment horizontal="center" vertical="center"/>
    </xf>
    <xf numFmtId="0" fontId="1" fillId="3" borderId="17" xfId="2" applyFont="1" applyFill="1" applyBorder="1">
      <alignment horizontal="center" vertical="center"/>
    </xf>
    <xf numFmtId="0" fontId="1" fillId="3" borderId="3" xfId="2" applyFont="1" applyFill="1" applyBorder="1">
      <alignment horizontal="center" vertical="center"/>
    </xf>
    <xf numFmtId="0" fontId="1" fillId="3" borderId="16" xfId="2" applyFont="1" applyFill="1" applyBorder="1">
      <alignment horizontal="center" vertical="center"/>
    </xf>
    <xf numFmtId="0" fontId="1" fillId="3" borderId="15" xfId="2" applyFont="1" applyFill="1" applyBorder="1">
      <alignment horizontal="center" vertical="center"/>
    </xf>
    <xf numFmtId="0" fontId="16" fillId="0" borderId="22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1" fillId="3" borderId="18" xfId="2" applyFont="1" applyFill="1" applyBorder="1">
      <alignment horizontal="center" vertical="center"/>
    </xf>
    <xf numFmtId="0" fontId="1" fillId="3" borderId="19" xfId="2" applyFont="1" applyFill="1" applyBorder="1">
      <alignment horizontal="center" vertical="center"/>
    </xf>
    <xf numFmtId="0" fontId="3" fillId="3" borderId="17" xfId="2" applyFont="1" applyFill="1" applyBorder="1">
      <alignment horizontal="center" vertical="center"/>
    </xf>
    <xf numFmtId="0" fontId="3" fillId="3" borderId="3" xfId="2" applyFont="1" applyFill="1" applyBorder="1">
      <alignment horizontal="center" vertical="center"/>
    </xf>
    <xf numFmtId="0" fontId="4" fillId="3" borderId="17" xfId="2" applyFont="1" applyFill="1" applyBorder="1">
      <alignment horizontal="center" vertical="center"/>
    </xf>
    <xf numFmtId="0" fontId="4" fillId="3" borderId="3" xfId="2" applyFont="1" applyFill="1" applyBorder="1">
      <alignment horizontal="center" vertical="center"/>
    </xf>
    <xf numFmtId="0" fontId="5" fillId="3" borderId="17" xfId="2" applyFont="1" applyFill="1" applyBorder="1">
      <alignment horizontal="center" vertical="center"/>
    </xf>
    <xf numFmtId="0" fontId="5" fillId="3" borderId="3" xfId="2" applyFont="1" applyFill="1" applyBorder="1">
      <alignment horizontal="center" vertical="center"/>
    </xf>
  </cellXfs>
  <cellStyles count="3">
    <cellStyle name="Normal" xfId="0" builtinId="0"/>
    <cellStyle name="نمط 1" xfId="1"/>
    <cellStyle name="نمط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1"/>
  <dimension ref="A1:AE127"/>
  <sheetViews>
    <sheetView topLeftCell="S1" zoomScale="115" zoomScaleNormal="115" workbookViewId="0">
      <selection activeCell="F12" sqref="F12"/>
    </sheetView>
  </sheetViews>
  <sheetFormatPr defaultRowHeight="15"/>
  <cols>
    <col min="14" max="14" width="12.140625" customWidth="1"/>
    <col min="15" max="15" width="5.42578125" customWidth="1"/>
    <col min="18" max="18" width="12.85546875" customWidth="1"/>
    <col min="25" max="25" width="15" customWidth="1"/>
  </cols>
  <sheetData>
    <row r="1" spans="1:31" ht="15.75" thickBot="1">
      <c r="B1" s="75" t="s">
        <v>101</v>
      </c>
      <c r="C1" s="76"/>
      <c r="D1" s="76"/>
      <c r="L1" s="1"/>
      <c r="M1" s="1"/>
      <c r="P1" s="1"/>
      <c r="Q1" s="1"/>
      <c r="Y1" s="1"/>
      <c r="Z1" s="1"/>
    </row>
    <row r="2" spans="1:31" ht="15.75" thickTop="1">
      <c r="A2" s="47"/>
      <c r="B2" s="73" t="s">
        <v>0</v>
      </c>
      <c r="C2" s="71" t="s">
        <v>1</v>
      </c>
      <c r="D2" s="71"/>
      <c r="E2" s="69" t="s">
        <v>2</v>
      </c>
      <c r="F2" s="69" t="s">
        <v>3</v>
      </c>
      <c r="G2" s="71" t="s">
        <v>4</v>
      </c>
      <c r="H2" s="71"/>
      <c r="I2" s="71"/>
      <c r="J2" s="71" t="s">
        <v>5</v>
      </c>
      <c r="K2" s="71" t="s">
        <v>6</v>
      </c>
      <c r="L2" s="79" t="s">
        <v>7</v>
      </c>
      <c r="M2" s="79" t="s">
        <v>8</v>
      </c>
      <c r="N2" s="81" t="s">
        <v>9</v>
      </c>
      <c r="O2" s="49"/>
      <c r="P2" s="71" t="s">
        <v>10</v>
      </c>
      <c r="Q2" s="71"/>
      <c r="R2" s="83" t="s">
        <v>11</v>
      </c>
      <c r="S2" s="69" t="s">
        <v>12</v>
      </c>
      <c r="T2" s="71" t="s">
        <v>13</v>
      </c>
      <c r="U2" s="71"/>
      <c r="V2" s="71" t="s">
        <v>14</v>
      </c>
      <c r="W2" s="71"/>
      <c r="X2" s="71" t="s">
        <v>15</v>
      </c>
      <c r="Y2" s="71"/>
      <c r="Z2" s="71"/>
      <c r="AA2" s="71"/>
      <c r="AB2" s="71" t="s">
        <v>16</v>
      </c>
      <c r="AC2" s="77" t="s">
        <v>17</v>
      </c>
    </row>
    <row r="3" spans="1:31">
      <c r="A3" s="47"/>
      <c r="B3" s="74"/>
      <c r="C3" s="72"/>
      <c r="D3" s="72"/>
      <c r="E3" s="70"/>
      <c r="F3" s="70"/>
      <c r="G3" s="72"/>
      <c r="H3" s="72"/>
      <c r="I3" s="72"/>
      <c r="J3" s="72"/>
      <c r="K3" s="72"/>
      <c r="L3" s="80"/>
      <c r="M3" s="80"/>
      <c r="N3" s="82"/>
      <c r="O3" s="50"/>
      <c r="P3" s="72"/>
      <c r="Q3" s="72"/>
      <c r="R3" s="84"/>
      <c r="S3" s="70"/>
      <c r="T3" s="72"/>
      <c r="U3" s="72"/>
      <c r="V3" s="51" t="s">
        <v>18</v>
      </c>
      <c r="W3" s="51" t="s">
        <v>19</v>
      </c>
      <c r="X3" s="51" t="s">
        <v>20</v>
      </c>
      <c r="Y3" s="51" t="s">
        <v>21</v>
      </c>
      <c r="Z3" s="51" t="s">
        <v>22</v>
      </c>
      <c r="AA3" s="51" t="s">
        <v>23</v>
      </c>
      <c r="AB3" s="72"/>
      <c r="AC3" s="78"/>
    </row>
    <row r="4" spans="1:31" ht="36.75" customHeight="1">
      <c r="A4" s="47"/>
      <c r="B4" s="74"/>
      <c r="C4" s="51" t="s">
        <v>24</v>
      </c>
      <c r="D4" s="51" t="s">
        <v>25</v>
      </c>
      <c r="E4" s="51" t="s">
        <v>26</v>
      </c>
      <c r="F4" s="51" t="s">
        <v>27</v>
      </c>
      <c r="G4" s="51" t="s">
        <v>28</v>
      </c>
      <c r="H4" s="51" t="s">
        <v>29</v>
      </c>
      <c r="I4" s="51" t="s">
        <v>30</v>
      </c>
      <c r="J4" s="51" t="s">
        <v>31</v>
      </c>
      <c r="K4" s="51" t="s">
        <v>32</v>
      </c>
      <c r="L4" s="51" t="s">
        <v>33</v>
      </c>
      <c r="M4" s="51" t="s">
        <v>34</v>
      </c>
      <c r="N4" s="51" t="s">
        <v>35</v>
      </c>
      <c r="O4" s="50"/>
      <c r="P4" s="51" t="s">
        <v>36</v>
      </c>
      <c r="Q4" s="51" t="s">
        <v>37</v>
      </c>
      <c r="R4" s="51" t="s">
        <v>35</v>
      </c>
      <c r="S4" s="51" t="s">
        <v>35</v>
      </c>
      <c r="T4" s="51" t="s">
        <v>36</v>
      </c>
      <c r="U4" s="51" t="s">
        <v>37</v>
      </c>
      <c r="V4" s="51" t="s">
        <v>38</v>
      </c>
      <c r="W4" s="51" t="s">
        <v>39</v>
      </c>
      <c r="X4" s="51" t="s">
        <v>39</v>
      </c>
      <c r="Y4" s="50"/>
      <c r="Z4" s="50"/>
      <c r="AA4" s="51" t="s">
        <v>38</v>
      </c>
      <c r="AB4" s="72"/>
      <c r="AC4" s="78"/>
      <c r="AD4" s="2"/>
      <c r="AE4" s="2"/>
    </row>
    <row r="5" spans="1:31">
      <c r="A5" s="47"/>
      <c r="B5" s="52" t="s">
        <v>40</v>
      </c>
      <c r="C5" s="53">
        <v>6.3299999999999995E-2</v>
      </c>
      <c r="D5" s="4">
        <v>6.3299999999999995E-2</v>
      </c>
      <c r="E5" s="54">
        <f>CEILING(1000*D5*(1.03^25),1)</f>
        <v>133</v>
      </c>
      <c r="F5" s="5">
        <f>ROUND(E5*165/1000,0)</f>
        <v>22</v>
      </c>
      <c r="G5" s="5">
        <f>ROUND((F5*0.8/(3.6*24)),1)</f>
        <v>0.2</v>
      </c>
      <c r="H5" s="5">
        <f>ROUND(1.95*G5,1)</f>
        <v>0.4</v>
      </c>
      <c r="I5" s="5">
        <f>ROUND(0.3*G5,1)</f>
        <v>0.1</v>
      </c>
      <c r="J5" s="5">
        <f>ROUND(100/(3.6*24),3)</f>
        <v>1.157</v>
      </c>
      <c r="K5" s="5">
        <f>ROUND(H5+J5,1)</f>
        <v>1.6</v>
      </c>
      <c r="L5" s="55">
        <v>24.5</v>
      </c>
      <c r="M5" s="4">
        <v>150</v>
      </c>
      <c r="N5" s="5">
        <f>ROUND(1000/M5,2)</f>
        <v>6.67</v>
      </c>
      <c r="O5" s="5"/>
      <c r="P5" s="4">
        <v>98</v>
      </c>
      <c r="Q5" s="4">
        <v>98</v>
      </c>
      <c r="R5" s="5">
        <f>ROUND(1000*(P5-Q5)/L5,2)</f>
        <v>0</v>
      </c>
      <c r="S5" s="5">
        <f>MAX(R5,N5)</f>
        <v>6.67</v>
      </c>
      <c r="T5" s="5">
        <f>P5-1.15</f>
        <v>96.85</v>
      </c>
      <c r="U5" s="5">
        <f>ROUND(T5-(S5*L5/1000),2)</f>
        <v>96.69</v>
      </c>
      <c r="V5" s="56">
        <f>ROUND(((M5/4000)^(2/3))*((S5/1000)^0.5)/0.015,2)</f>
        <v>0.61</v>
      </c>
      <c r="W5" s="56">
        <f>ROUND((V5*1000*PI()*(M5/1000)^2/4),2)</f>
        <v>10.78</v>
      </c>
      <c r="X5" s="5">
        <f>ROUND(K5/W5,2)</f>
        <v>0.15</v>
      </c>
      <c r="Y5" s="4">
        <f>ROUND((0.7543*(X5^(0.5522))),3)</f>
        <v>0.26500000000000001</v>
      </c>
      <c r="Z5" s="4"/>
      <c r="AA5" s="5">
        <f>ROUND(Z5*V5,2)</f>
        <v>0</v>
      </c>
      <c r="AB5" s="5" t="str">
        <f>IF(X5&gt;0.85,"q/Q&gt;0.85",IF(Y5&gt;0.8,"d/D&gt;0.8",IF(AA5&gt;3,"v&gt;vmax",IF(AA5&lt;0.3,"v&lt;vmin",""))))</f>
        <v>v&lt;vmin</v>
      </c>
      <c r="AC5" s="57" t="str">
        <f>IF((AND(X5&lt;0.85,Y5&lt;0.8,AA5&lt;3,AA5&gt;0.3))="false","not ok"," ok")</f>
        <v xml:space="preserve"> ok</v>
      </c>
      <c r="AD5" s="2"/>
      <c r="AE5" s="2"/>
    </row>
    <row r="6" spans="1:31">
      <c r="A6" s="47"/>
      <c r="B6" s="58" t="s">
        <v>42</v>
      </c>
      <c r="C6" s="53">
        <v>0.41889999999999999</v>
      </c>
      <c r="D6" s="4">
        <v>0.41889999999999999</v>
      </c>
      <c r="E6" s="54">
        <f t="shared" ref="E6:E40" si="0">CEILING(1000*D6*(1.03^25),1)</f>
        <v>878</v>
      </c>
      <c r="F6" s="5">
        <f t="shared" ref="F6:F40" si="1">ROUND(E6*165/1000,0)</f>
        <v>145</v>
      </c>
      <c r="G6" s="5">
        <f t="shared" ref="G6:G40" si="2">ROUND((F6*0.8/(3.6*24)),1)</f>
        <v>1.3</v>
      </c>
      <c r="H6" s="5">
        <f t="shared" ref="H6:H40" si="3">ROUND(1.95*G6,1)</f>
        <v>2.5</v>
      </c>
      <c r="I6" s="5">
        <f t="shared" ref="I6:I40" si="4">ROUND(0.3*G6,1)</f>
        <v>0.4</v>
      </c>
      <c r="J6" s="5">
        <v>0</v>
      </c>
      <c r="K6" s="5">
        <f t="shared" ref="K6:K40" si="5">ROUND(H6+J6,1)</f>
        <v>2.5</v>
      </c>
      <c r="L6" s="55">
        <v>72.599999999999994</v>
      </c>
      <c r="M6" s="4">
        <v>150</v>
      </c>
      <c r="N6" s="5">
        <f t="shared" ref="N6:N40" si="6">ROUND(1000/M6,2)</f>
        <v>6.67</v>
      </c>
      <c r="O6" s="5"/>
      <c r="P6" s="4">
        <v>102</v>
      </c>
      <c r="Q6" s="4">
        <v>98</v>
      </c>
      <c r="R6" s="5">
        <f t="shared" ref="R6:R39" si="7">ROUND(1000*(P6-Q6)/L6,2)</f>
        <v>55.1</v>
      </c>
      <c r="S6" s="5">
        <f t="shared" ref="S6:S40" si="8">MAX(R6,N6)</f>
        <v>55.1</v>
      </c>
      <c r="T6" s="5">
        <f t="shared" ref="T6:T40" si="9">P6-1.15</f>
        <v>100.85</v>
      </c>
      <c r="U6" s="5">
        <f t="shared" ref="U6:U40" si="10">ROUND(T6-(S6*L6/1000),2)</f>
        <v>96.85</v>
      </c>
      <c r="V6" s="56">
        <f t="shared" ref="V6:V40" si="11">ROUND(((M6/4000)^(2/3))*((S6/1000)^0.5)/0.015,2)</f>
        <v>1.75</v>
      </c>
      <c r="W6" s="56">
        <f t="shared" ref="W6:W40" si="12">ROUND((V6*1000*PI()*(M6/1000)^2/4),2)</f>
        <v>30.93</v>
      </c>
      <c r="X6" s="5">
        <f t="shared" ref="X6:X40" si="13">ROUND(K6/W6,2)</f>
        <v>0.08</v>
      </c>
      <c r="Y6" s="4">
        <f t="shared" ref="Y6:Y39" si="14">ROUND((0.7543*(X6^(0.5522))),3)</f>
        <v>0.187</v>
      </c>
      <c r="Z6" s="4"/>
      <c r="AA6" s="5"/>
      <c r="AB6" s="5"/>
      <c r="AC6" s="57" t="str">
        <f t="shared" ref="AC6:AC40" si="15">IF((AND(X6&lt;0.85,Y6&lt;0.8,AA6&lt;3,AA6&gt;0.3))="false","not ok"," ok")</f>
        <v xml:space="preserve"> ok</v>
      </c>
    </row>
    <row r="7" spans="1:31">
      <c r="A7" s="47"/>
      <c r="B7" s="59" t="s">
        <v>47</v>
      </c>
      <c r="C7" s="53">
        <v>4.9799999999999997E-2</v>
      </c>
      <c r="D7" s="4">
        <f>0.0498+0.4189+0.0633</f>
        <v>0.53200000000000003</v>
      </c>
      <c r="E7" s="54">
        <f t="shared" si="0"/>
        <v>1114</v>
      </c>
      <c r="F7" s="5">
        <f t="shared" si="1"/>
        <v>184</v>
      </c>
      <c r="G7" s="5">
        <f t="shared" si="2"/>
        <v>1.7</v>
      </c>
      <c r="H7" s="5">
        <f t="shared" si="3"/>
        <v>3.3</v>
      </c>
      <c r="I7" s="5">
        <f t="shared" si="4"/>
        <v>0.5</v>
      </c>
      <c r="J7" s="5">
        <f>ROUND(100/(3.6*24),3)</f>
        <v>1.157</v>
      </c>
      <c r="K7" s="5">
        <f t="shared" si="5"/>
        <v>4.5</v>
      </c>
      <c r="L7" s="55">
        <v>23.6</v>
      </c>
      <c r="M7" s="4">
        <v>150</v>
      </c>
      <c r="N7" s="5">
        <f t="shared" si="6"/>
        <v>6.67</v>
      </c>
      <c r="O7" s="5"/>
      <c r="P7" s="4">
        <v>98</v>
      </c>
      <c r="Q7" s="4">
        <v>100</v>
      </c>
      <c r="R7" s="5">
        <f t="shared" si="7"/>
        <v>-84.75</v>
      </c>
      <c r="S7" s="5">
        <f t="shared" si="8"/>
        <v>6.67</v>
      </c>
      <c r="T7" s="5">
        <f t="shared" si="9"/>
        <v>96.85</v>
      </c>
      <c r="U7" s="5">
        <f t="shared" si="10"/>
        <v>96.69</v>
      </c>
      <c r="V7" s="56">
        <f t="shared" si="11"/>
        <v>0.61</v>
      </c>
      <c r="W7" s="56">
        <f t="shared" si="12"/>
        <v>10.78</v>
      </c>
      <c r="X7" s="5">
        <f t="shared" si="13"/>
        <v>0.42</v>
      </c>
      <c r="Y7" s="4">
        <f t="shared" si="14"/>
        <v>0.46700000000000003</v>
      </c>
      <c r="Z7" s="4"/>
      <c r="AA7" s="5"/>
      <c r="AB7" s="5"/>
      <c r="AC7" s="57" t="str">
        <f t="shared" si="15"/>
        <v xml:space="preserve"> ok</v>
      </c>
    </row>
    <row r="8" spans="1:31">
      <c r="A8" s="47"/>
      <c r="B8" s="59" t="s">
        <v>48</v>
      </c>
      <c r="C8" s="53">
        <v>4.6899999999999997E-2</v>
      </c>
      <c r="D8" s="4">
        <f>0.0469+0.532</f>
        <v>0.57889999999999997</v>
      </c>
      <c r="E8" s="54">
        <f t="shared" si="0"/>
        <v>1213</v>
      </c>
      <c r="F8" s="5">
        <f t="shared" si="1"/>
        <v>200</v>
      </c>
      <c r="G8" s="5">
        <f t="shared" si="2"/>
        <v>1.9</v>
      </c>
      <c r="H8" s="5">
        <f t="shared" si="3"/>
        <v>3.7</v>
      </c>
      <c r="I8" s="5">
        <f t="shared" si="4"/>
        <v>0.6</v>
      </c>
      <c r="J8" s="5">
        <f>ROUND(100/(3.6*24),3)</f>
        <v>1.157</v>
      </c>
      <c r="K8" s="5">
        <f t="shared" si="5"/>
        <v>4.9000000000000004</v>
      </c>
      <c r="L8" s="55">
        <v>23.6</v>
      </c>
      <c r="M8" s="4">
        <v>150</v>
      </c>
      <c r="N8" s="5">
        <f t="shared" si="6"/>
        <v>6.67</v>
      </c>
      <c r="O8" s="5"/>
      <c r="P8" s="4">
        <v>100</v>
      </c>
      <c r="Q8" s="4">
        <v>100</v>
      </c>
      <c r="R8" s="5">
        <f t="shared" si="7"/>
        <v>0</v>
      </c>
      <c r="S8" s="5">
        <f t="shared" si="8"/>
        <v>6.67</v>
      </c>
      <c r="T8" s="5">
        <f t="shared" si="9"/>
        <v>98.85</v>
      </c>
      <c r="U8" s="5">
        <f t="shared" si="10"/>
        <v>98.69</v>
      </c>
      <c r="V8" s="56">
        <f t="shared" si="11"/>
        <v>0.61</v>
      </c>
      <c r="W8" s="56">
        <f t="shared" si="12"/>
        <v>10.78</v>
      </c>
      <c r="X8" s="5">
        <f t="shared" si="13"/>
        <v>0.45</v>
      </c>
      <c r="Y8" s="4">
        <f t="shared" si="14"/>
        <v>0.48499999999999999</v>
      </c>
      <c r="Z8" s="4"/>
      <c r="AA8" s="5"/>
      <c r="AB8" s="5"/>
      <c r="AC8" s="57" t="str">
        <f t="shared" si="15"/>
        <v xml:space="preserve"> ok</v>
      </c>
    </row>
    <row r="9" spans="1:31">
      <c r="A9" s="47"/>
      <c r="B9" s="59" t="s">
        <v>41</v>
      </c>
      <c r="C9" s="53">
        <v>0.18540000000000001</v>
      </c>
      <c r="D9" s="4">
        <v>0.18540000000000001</v>
      </c>
      <c r="E9" s="54">
        <f t="shared" si="0"/>
        <v>389</v>
      </c>
      <c r="F9" s="5">
        <f t="shared" si="1"/>
        <v>64</v>
      </c>
      <c r="G9" s="5">
        <f t="shared" si="2"/>
        <v>0.6</v>
      </c>
      <c r="H9" s="5">
        <f t="shared" si="3"/>
        <v>1.2</v>
      </c>
      <c r="I9" s="5">
        <f t="shared" si="4"/>
        <v>0.2</v>
      </c>
      <c r="J9" s="5">
        <v>0</v>
      </c>
      <c r="K9" s="5">
        <f t="shared" si="5"/>
        <v>1.2</v>
      </c>
      <c r="L9" s="55">
        <v>26.4</v>
      </c>
      <c r="M9" s="4">
        <v>150</v>
      </c>
      <c r="N9" s="5">
        <f t="shared" si="6"/>
        <v>6.67</v>
      </c>
      <c r="O9" s="5"/>
      <c r="P9" s="4">
        <v>98</v>
      </c>
      <c r="Q9" s="4">
        <v>100</v>
      </c>
      <c r="R9" s="5">
        <f t="shared" si="7"/>
        <v>-75.760000000000005</v>
      </c>
      <c r="S9" s="5">
        <f t="shared" si="8"/>
        <v>6.67</v>
      </c>
      <c r="T9" s="5">
        <f t="shared" si="9"/>
        <v>96.85</v>
      </c>
      <c r="U9" s="5">
        <f t="shared" si="10"/>
        <v>96.67</v>
      </c>
      <c r="V9" s="56">
        <f t="shared" si="11"/>
        <v>0.61</v>
      </c>
      <c r="W9" s="56">
        <f t="shared" si="12"/>
        <v>10.78</v>
      </c>
      <c r="X9" s="5">
        <f t="shared" si="13"/>
        <v>0.11</v>
      </c>
      <c r="Y9" s="4">
        <f t="shared" si="14"/>
        <v>0.223</v>
      </c>
      <c r="Z9" s="4"/>
      <c r="AA9" s="5"/>
      <c r="AB9" s="5"/>
      <c r="AC9" s="57" t="str">
        <f t="shared" si="15"/>
        <v xml:space="preserve"> ok</v>
      </c>
    </row>
    <row r="10" spans="1:31">
      <c r="A10" s="47"/>
      <c r="B10" s="59" t="s">
        <v>49</v>
      </c>
      <c r="C10" s="53">
        <v>0.20860000000000001</v>
      </c>
      <c r="D10" s="4">
        <f>0.2086+0.1854+0.5789</f>
        <v>0.97289999999999999</v>
      </c>
      <c r="E10" s="54">
        <f t="shared" si="0"/>
        <v>2038</v>
      </c>
      <c r="F10" s="5">
        <f t="shared" si="1"/>
        <v>336</v>
      </c>
      <c r="G10" s="5">
        <f t="shared" si="2"/>
        <v>3.1</v>
      </c>
      <c r="H10" s="5">
        <f t="shared" si="3"/>
        <v>6</v>
      </c>
      <c r="I10" s="5">
        <f t="shared" si="4"/>
        <v>0.9</v>
      </c>
      <c r="J10" s="5">
        <f>ROUND(100/(3.6*24),3)</f>
        <v>1.157</v>
      </c>
      <c r="K10" s="5">
        <f t="shared" si="5"/>
        <v>7.2</v>
      </c>
      <c r="L10" s="55">
        <v>62.3</v>
      </c>
      <c r="M10" s="4">
        <v>150</v>
      </c>
      <c r="N10" s="5">
        <f t="shared" si="6"/>
        <v>6.67</v>
      </c>
      <c r="O10" s="5"/>
      <c r="P10" s="4">
        <v>100</v>
      </c>
      <c r="Q10" s="4">
        <v>98</v>
      </c>
      <c r="R10" s="5">
        <f t="shared" si="7"/>
        <v>32.1</v>
      </c>
      <c r="S10" s="5">
        <f t="shared" si="8"/>
        <v>32.1</v>
      </c>
      <c r="T10" s="5">
        <f t="shared" si="9"/>
        <v>98.85</v>
      </c>
      <c r="U10" s="5">
        <f t="shared" si="10"/>
        <v>96.85</v>
      </c>
      <c r="V10" s="56">
        <f t="shared" si="11"/>
        <v>1.34</v>
      </c>
      <c r="W10" s="56">
        <f t="shared" si="12"/>
        <v>23.68</v>
      </c>
      <c r="X10" s="5">
        <f t="shared" si="13"/>
        <v>0.3</v>
      </c>
      <c r="Y10" s="4">
        <f t="shared" si="14"/>
        <v>0.38800000000000001</v>
      </c>
      <c r="Z10" s="4"/>
      <c r="AA10" s="5"/>
      <c r="AB10" s="5"/>
      <c r="AC10" s="57" t="str">
        <f t="shared" si="15"/>
        <v xml:space="preserve"> ok</v>
      </c>
    </row>
    <row r="11" spans="1:31">
      <c r="A11" s="47"/>
      <c r="B11" s="59" t="s">
        <v>50</v>
      </c>
      <c r="C11" s="53">
        <v>2.3099999999999999E-2</v>
      </c>
      <c r="D11" s="4">
        <v>2.3099999999999999E-2</v>
      </c>
      <c r="E11" s="54">
        <f t="shared" si="0"/>
        <v>49</v>
      </c>
      <c r="F11" s="5">
        <f t="shared" si="1"/>
        <v>8</v>
      </c>
      <c r="G11" s="5">
        <f t="shared" si="2"/>
        <v>0.1</v>
      </c>
      <c r="H11" s="5">
        <f t="shared" si="3"/>
        <v>0.2</v>
      </c>
      <c r="I11" s="5">
        <f t="shared" si="4"/>
        <v>0</v>
      </c>
      <c r="J11" s="5">
        <v>0</v>
      </c>
      <c r="K11" s="5">
        <f t="shared" si="5"/>
        <v>0.2</v>
      </c>
      <c r="L11" s="55">
        <v>30.2</v>
      </c>
      <c r="M11" s="4">
        <v>150</v>
      </c>
      <c r="N11" s="5">
        <f t="shared" si="6"/>
        <v>6.67</v>
      </c>
      <c r="O11" s="5"/>
      <c r="P11" s="4">
        <v>98</v>
      </c>
      <c r="Q11" s="4">
        <v>98</v>
      </c>
      <c r="R11" s="5">
        <f t="shared" si="7"/>
        <v>0</v>
      </c>
      <c r="S11" s="5">
        <f t="shared" si="8"/>
        <v>6.67</v>
      </c>
      <c r="T11" s="5">
        <f t="shared" si="9"/>
        <v>96.85</v>
      </c>
      <c r="U11" s="5">
        <f t="shared" si="10"/>
        <v>96.65</v>
      </c>
      <c r="V11" s="56">
        <f t="shared" si="11"/>
        <v>0.61</v>
      </c>
      <c r="W11" s="56">
        <f t="shared" si="12"/>
        <v>10.78</v>
      </c>
      <c r="X11" s="5">
        <f t="shared" si="13"/>
        <v>0.02</v>
      </c>
      <c r="Y11" s="4">
        <f t="shared" si="14"/>
        <v>8.6999999999999994E-2</v>
      </c>
      <c r="Z11" s="4"/>
      <c r="AA11" s="5"/>
      <c r="AB11" s="5"/>
      <c r="AC11" s="57" t="str">
        <f t="shared" si="15"/>
        <v xml:space="preserve"> ok</v>
      </c>
    </row>
    <row r="12" spans="1:31">
      <c r="A12" s="47"/>
      <c r="B12" s="59" t="s">
        <v>51</v>
      </c>
      <c r="C12" s="53">
        <v>0.14699999999999999</v>
      </c>
      <c r="D12" s="4">
        <v>0.14699999999999999</v>
      </c>
      <c r="E12" s="54">
        <f t="shared" si="0"/>
        <v>308</v>
      </c>
      <c r="F12" s="5">
        <f t="shared" si="1"/>
        <v>51</v>
      </c>
      <c r="G12" s="5">
        <f t="shared" si="2"/>
        <v>0.5</v>
      </c>
      <c r="H12" s="5">
        <f t="shared" si="3"/>
        <v>1</v>
      </c>
      <c r="I12" s="5">
        <f t="shared" si="4"/>
        <v>0.2</v>
      </c>
      <c r="J12" s="5">
        <v>0</v>
      </c>
      <c r="K12" s="5">
        <f t="shared" si="5"/>
        <v>1</v>
      </c>
      <c r="L12" s="55">
        <v>31.2</v>
      </c>
      <c r="M12" s="4">
        <v>150</v>
      </c>
      <c r="N12" s="5">
        <f t="shared" si="6"/>
        <v>6.67</v>
      </c>
      <c r="O12" s="5"/>
      <c r="P12" s="4">
        <v>102</v>
      </c>
      <c r="Q12" s="4">
        <v>98</v>
      </c>
      <c r="R12" s="5">
        <f t="shared" si="7"/>
        <v>128.21</v>
      </c>
      <c r="S12" s="5">
        <f t="shared" si="8"/>
        <v>128.21</v>
      </c>
      <c r="T12" s="5">
        <f t="shared" si="9"/>
        <v>100.85</v>
      </c>
      <c r="U12" s="5">
        <f t="shared" si="10"/>
        <v>96.85</v>
      </c>
      <c r="V12" s="56">
        <f t="shared" si="11"/>
        <v>2.67</v>
      </c>
      <c r="W12" s="56">
        <f t="shared" si="12"/>
        <v>47.18</v>
      </c>
      <c r="X12" s="5">
        <f t="shared" si="13"/>
        <v>0.02</v>
      </c>
      <c r="Y12" s="4">
        <f t="shared" si="14"/>
        <v>8.6999999999999994E-2</v>
      </c>
      <c r="Z12" s="4"/>
      <c r="AA12" s="5"/>
      <c r="AB12" s="5"/>
      <c r="AC12" s="57" t="str">
        <f t="shared" si="15"/>
        <v xml:space="preserve"> ok</v>
      </c>
    </row>
    <row r="13" spans="1:31">
      <c r="A13" s="47"/>
      <c r="B13" s="59" t="s">
        <v>52</v>
      </c>
      <c r="C13" s="53">
        <v>3.5499999999999997E-2</v>
      </c>
      <c r="D13" s="4">
        <f>0.0355+0.147+0.0231</f>
        <v>0.2056</v>
      </c>
      <c r="E13" s="54">
        <f t="shared" si="0"/>
        <v>431</v>
      </c>
      <c r="F13" s="5">
        <f t="shared" si="1"/>
        <v>71</v>
      </c>
      <c r="G13" s="5">
        <f t="shared" si="2"/>
        <v>0.7</v>
      </c>
      <c r="H13" s="5">
        <f t="shared" si="3"/>
        <v>1.4</v>
      </c>
      <c r="I13" s="5">
        <f t="shared" si="4"/>
        <v>0.2</v>
      </c>
      <c r="J13" s="5">
        <v>0</v>
      </c>
      <c r="K13" s="5">
        <f t="shared" si="5"/>
        <v>1.4</v>
      </c>
      <c r="L13" s="55">
        <v>31.2</v>
      </c>
      <c r="M13" s="4">
        <v>150</v>
      </c>
      <c r="N13" s="5">
        <f t="shared" si="6"/>
        <v>6.67</v>
      </c>
      <c r="O13" s="5"/>
      <c r="P13" s="4">
        <v>98</v>
      </c>
      <c r="Q13" s="4">
        <v>98</v>
      </c>
      <c r="R13" s="5">
        <f t="shared" si="7"/>
        <v>0</v>
      </c>
      <c r="S13" s="5">
        <f t="shared" si="8"/>
        <v>6.67</v>
      </c>
      <c r="T13" s="5">
        <f t="shared" si="9"/>
        <v>96.85</v>
      </c>
      <c r="U13" s="5">
        <f t="shared" si="10"/>
        <v>96.64</v>
      </c>
      <c r="V13" s="56">
        <f t="shared" si="11"/>
        <v>0.61</v>
      </c>
      <c r="W13" s="56">
        <f t="shared" si="12"/>
        <v>10.78</v>
      </c>
      <c r="X13" s="5">
        <f t="shared" si="13"/>
        <v>0.13</v>
      </c>
      <c r="Y13" s="4">
        <f t="shared" si="14"/>
        <v>0.24399999999999999</v>
      </c>
      <c r="Z13" s="4"/>
      <c r="AA13" s="5"/>
      <c r="AB13" s="5"/>
      <c r="AC13" s="57" t="str">
        <f t="shared" si="15"/>
        <v xml:space="preserve"> ok</v>
      </c>
    </row>
    <row r="14" spans="1:31">
      <c r="A14" s="47"/>
      <c r="B14" s="59" t="s">
        <v>53</v>
      </c>
      <c r="C14" s="53">
        <v>5.67E-2</v>
      </c>
      <c r="D14" s="4">
        <f>0.0567+0.2056+0.9729</f>
        <v>1.2351999999999999</v>
      </c>
      <c r="E14" s="54">
        <f t="shared" si="0"/>
        <v>2587</v>
      </c>
      <c r="F14" s="5">
        <f t="shared" si="1"/>
        <v>427</v>
      </c>
      <c r="G14" s="5">
        <f t="shared" si="2"/>
        <v>4</v>
      </c>
      <c r="H14" s="5">
        <f t="shared" si="3"/>
        <v>7.8</v>
      </c>
      <c r="I14" s="5">
        <f t="shared" si="4"/>
        <v>1.2</v>
      </c>
      <c r="J14" s="5">
        <f>ROUND(100/(3.6*24),3)</f>
        <v>1.157</v>
      </c>
      <c r="K14" s="5">
        <f t="shared" si="5"/>
        <v>9</v>
      </c>
      <c r="L14" s="55">
        <v>26.4</v>
      </c>
      <c r="M14" s="4">
        <v>150</v>
      </c>
      <c r="N14" s="5">
        <f t="shared" si="6"/>
        <v>6.67</v>
      </c>
      <c r="O14" s="5"/>
      <c r="P14" s="4">
        <v>98</v>
      </c>
      <c r="Q14" s="4">
        <v>98</v>
      </c>
      <c r="R14" s="5">
        <f t="shared" si="7"/>
        <v>0</v>
      </c>
      <c r="S14" s="5">
        <f t="shared" si="8"/>
        <v>6.67</v>
      </c>
      <c r="T14" s="5">
        <f t="shared" si="9"/>
        <v>96.85</v>
      </c>
      <c r="U14" s="5">
        <f t="shared" si="10"/>
        <v>96.67</v>
      </c>
      <c r="V14" s="56">
        <f t="shared" si="11"/>
        <v>0.61</v>
      </c>
      <c r="W14" s="56">
        <f t="shared" si="12"/>
        <v>10.78</v>
      </c>
      <c r="X14" s="5">
        <f t="shared" si="13"/>
        <v>0.83</v>
      </c>
      <c r="Y14" s="4">
        <f t="shared" si="14"/>
        <v>0.68100000000000005</v>
      </c>
      <c r="Z14" s="4"/>
      <c r="AA14" s="5"/>
      <c r="AB14" s="5"/>
      <c r="AC14" s="57" t="str">
        <f t="shared" si="15"/>
        <v xml:space="preserve"> ok</v>
      </c>
    </row>
    <row r="15" spans="1:31">
      <c r="A15" s="47"/>
      <c r="B15" s="59" t="s">
        <v>54</v>
      </c>
      <c r="C15" s="53">
        <v>5.4300000000000001E-2</v>
      </c>
      <c r="D15" s="4">
        <f>0.0543+1.2352</f>
        <v>1.2895000000000001</v>
      </c>
      <c r="E15" s="54">
        <f t="shared" si="0"/>
        <v>2700</v>
      </c>
      <c r="F15" s="5">
        <f t="shared" si="1"/>
        <v>446</v>
      </c>
      <c r="G15" s="5">
        <f t="shared" si="2"/>
        <v>4.0999999999999996</v>
      </c>
      <c r="H15" s="5">
        <f t="shared" si="3"/>
        <v>8</v>
      </c>
      <c r="I15" s="5">
        <f t="shared" si="4"/>
        <v>1.2</v>
      </c>
      <c r="J15" s="5">
        <f>ROUND(100/(3.6*24),3)</f>
        <v>1.157</v>
      </c>
      <c r="K15" s="5">
        <f t="shared" si="5"/>
        <v>9.1999999999999993</v>
      </c>
      <c r="L15" s="55">
        <v>25.5</v>
      </c>
      <c r="M15" s="4">
        <v>150</v>
      </c>
      <c r="N15" s="5">
        <f t="shared" si="6"/>
        <v>6.67</v>
      </c>
      <c r="O15" s="5"/>
      <c r="P15" s="4">
        <v>98</v>
      </c>
      <c r="Q15" s="4">
        <v>98</v>
      </c>
      <c r="R15" s="5">
        <f t="shared" si="7"/>
        <v>0</v>
      </c>
      <c r="S15" s="5">
        <f t="shared" si="8"/>
        <v>6.67</v>
      </c>
      <c r="T15" s="5">
        <f t="shared" si="9"/>
        <v>96.85</v>
      </c>
      <c r="U15" s="5">
        <f t="shared" si="10"/>
        <v>96.68</v>
      </c>
      <c r="V15" s="56">
        <f t="shared" si="11"/>
        <v>0.61</v>
      </c>
      <c r="W15" s="56">
        <f t="shared" si="12"/>
        <v>10.78</v>
      </c>
      <c r="X15" s="5">
        <f t="shared" si="13"/>
        <v>0.85</v>
      </c>
      <c r="Y15" s="4">
        <f t="shared" si="14"/>
        <v>0.69</v>
      </c>
      <c r="Z15" s="4"/>
      <c r="AA15" s="5"/>
      <c r="AB15" s="5"/>
      <c r="AC15" s="57" t="str">
        <f t="shared" si="15"/>
        <v xml:space="preserve"> ok</v>
      </c>
    </row>
    <row r="16" spans="1:31">
      <c r="A16" s="47"/>
      <c r="B16" s="59" t="s">
        <v>55</v>
      </c>
      <c r="C16" s="53">
        <v>6.4299999999999996E-2</v>
      </c>
      <c r="D16" s="4">
        <f>0.0643+1.2895</f>
        <v>1.3538000000000001</v>
      </c>
      <c r="E16" s="54">
        <f t="shared" si="0"/>
        <v>2835</v>
      </c>
      <c r="F16" s="5">
        <f t="shared" si="1"/>
        <v>468</v>
      </c>
      <c r="G16" s="5">
        <f t="shared" si="2"/>
        <v>4.3</v>
      </c>
      <c r="H16" s="5">
        <f t="shared" si="3"/>
        <v>8.4</v>
      </c>
      <c r="I16" s="5">
        <f t="shared" si="4"/>
        <v>1.3</v>
      </c>
      <c r="J16" s="5">
        <f>ROUND(100/(3.6*24),3)</f>
        <v>1.157</v>
      </c>
      <c r="K16" s="5">
        <f t="shared" si="5"/>
        <v>9.6</v>
      </c>
      <c r="L16" s="55">
        <v>23.6</v>
      </c>
      <c r="M16" s="4">
        <v>150</v>
      </c>
      <c r="N16" s="5">
        <f t="shared" si="6"/>
        <v>6.67</v>
      </c>
      <c r="O16" s="5"/>
      <c r="P16" s="4">
        <v>98</v>
      </c>
      <c r="Q16" s="4">
        <v>98</v>
      </c>
      <c r="R16" s="5">
        <f t="shared" si="7"/>
        <v>0</v>
      </c>
      <c r="S16" s="5">
        <f t="shared" si="8"/>
        <v>6.67</v>
      </c>
      <c r="T16" s="5">
        <f t="shared" si="9"/>
        <v>96.85</v>
      </c>
      <c r="U16" s="5">
        <f t="shared" si="10"/>
        <v>96.69</v>
      </c>
      <c r="V16" s="56">
        <f t="shared" si="11"/>
        <v>0.61</v>
      </c>
      <c r="W16" s="56">
        <f t="shared" si="12"/>
        <v>10.78</v>
      </c>
      <c r="X16" s="5">
        <f t="shared" si="13"/>
        <v>0.89</v>
      </c>
      <c r="Y16" s="4">
        <f t="shared" si="14"/>
        <v>0.70699999999999996</v>
      </c>
      <c r="Z16" s="4"/>
      <c r="AA16" s="5"/>
      <c r="AB16" s="5"/>
      <c r="AC16" s="57" t="str">
        <f t="shared" si="15"/>
        <v xml:space="preserve"> ok</v>
      </c>
    </row>
    <row r="17" spans="1:29">
      <c r="A17" s="47"/>
      <c r="B17" s="59" t="s">
        <v>56</v>
      </c>
      <c r="C17" s="53">
        <v>8.09E-2</v>
      </c>
      <c r="D17" s="4">
        <v>8.09E-2</v>
      </c>
      <c r="E17" s="54">
        <f t="shared" si="0"/>
        <v>170</v>
      </c>
      <c r="F17" s="5">
        <f t="shared" si="1"/>
        <v>28</v>
      </c>
      <c r="G17" s="5">
        <f t="shared" si="2"/>
        <v>0.3</v>
      </c>
      <c r="H17" s="5">
        <f t="shared" si="3"/>
        <v>0.6</v>
      </c>
      <c r="I17" s="5">
        <f t="shared" si="4"/>
        <v>0.1</v>
      </c>
      <c r="J17" s="5">
        <v>0</v>
      </c>
      <c r="K17" s="5">
        <f t="shared" si="5"/>
        <v>0.6</v>
      </c>
      <c r="L17" s="55">
        <v>34</v>
      </c>
      <c r="M17" s="4">
        <v>150</v>
      </c>
      <c r="N17" s="5">
        <f t="shared" si="6"/>
        <v>6.67</v>
      </c>
      <c r="O17" s="5"/>
      <c r="P17" s="4">
        <v>102</v>
      </c>
      <c r="Q17" s="4">
        <v>98</v>
      </c>
      <c r="R17" s="5">
        <f t="shared" si="7"/>
        <v>117.65</v>
      </c>
      <c r="S17" s="5">
        <f t="shared" si="8"/>
        <v>117.65</v>
      </c>
      <c r="T17" s="5">
        <f t="shared" si="9"/>
        <v>100.85</v>
      </c>
      <c r="U17" s="5">
        <f t="shared" si="10"/>
        <v>96.85</v>
      </c>
      <c r="V17" s="56">
        <f t="shared" si="11"/>
        <v>2.56</v>
      </c>
      <c r="W17" s="56">
        <f t="shared" si="12"/>
        <v>45.24</v>
      </c>
      <c r="X17" s="5">
        <f t="shared" si="13"/>
        <v>0.01</v>
      </c>
      <c r="Y17" s="4">
        <f t="shared" si="14"/>
        <v>5.8999999999999997E-2</v>
      </c>
      <c r="Z17" s="4"/>
      <c r="AA17" s="5"/>
      <c r="AB17" s="5"/>
      <c r="AC17" s="57" t="str">
        <f t="shared" si="15"/>
        <v xml:space="preserve"> ok</v>
      </c>
    </row>
    <row r="18" spans="1:29">
      <c r="A18" s="47"/>
      <c r="B18" s="59" t="s">
        <v>57</v>
      </c>
      <c r="C18" s="53">
        <v>1.1299999999999999E-2</v>
      </c>
      <c r="D18" s="4">
        <f>0.0113+0.0809+1.3538</f>
        <v>1.446</v>
      </c>
      <c r="E18" s="54">
        <f t="shared" si="0"/>
        <v>3028</v>
      </c>
      <c r="F18" s="5">
        <f t="shared" si="1"/>
        <v>500</v>
      </c>
      <c r="G18" s="5">
        <f t="shared" si="2"/>
        <v>4.5999999999999996</v>
      </c>
      <c r="H18" s="5">
        <f t="shared" si="3"/>
        <v>9</v>
      </c>
      <c r="I18" s="5">
        <f t="shared" si="4"/>
        <v>1.4</v>
      </c>
      <c r="J18" s="5">
        <f>ROUND(100/(3.6*24),3)</f>
        <v>1.157</v>
      </c>
      <c r="K18" s="5">
        <f t="shared" si="5"/>
        <v>10.199999999999999</v>
      </c>
      <c r="L18" s="55">
        <v>13.2</v>
      </c>
      <c r="M18" s="4">
        <v>200</v>
      </c>
      <c r="N18" s="5">
        <f t="shared" si="6"/>
        <v>5</v>
      </c>
      <c r="O18" s="5"/>
      <c r="P18" s="4">
        <v>98</v>
      </c>
      <c r="Q18" s="4">
        <v>98</v>
      </c>
      <c r="R18" s="5">
        <f t="shared" si="7"/>
        <v>0</v>
      </c>
      <c r="S18" s="5">
        <f t="shared" si="8"/>
        <v>5</v>
      </c>
      <c r="T18" s="5">
        <f t="shared" si="9"/>
        <v>96.85</v>
      </c>
      <c r="U18" s="5">
        <f t="shared" si="10"/>
        <v>96.78</v>
      </c>
      <c r="V18" s="56">
        <f t="shared" si="11"/>
        <v>0.64</v>
      </c>
      <c r="W18" s="56">
        <f t="shared" si="12"/>
        <v>20.11</v>
      </c>
      <c r="X18" s="5">
        <f t="shared" si="13"/>
        <v>0.51</v>
      </c>
      <c r="Y18" s="4">
        <f t="shared" si="14"/>
        <v>0.52</v>
      </c>
      <c r="Z18" s="4"/>
      <c r="AA18" s="5"/>
      <c r="AB18" s="5"/>
      <c r="AC18" s="57" t="str">
        <f t="shared" si="15"/>
        <v xml:space="preserve"> ok</v>
      </c>
    </row>
    <row r="19" spans="1:29">
      <c r="A19" s="47"/>
      <c r="B19" s="59" t="s">
        <v>58</v>
      </c>
      <c r="C19" s="53">
        <v>6.7000000000000004E-2</v>
      </c>
      <c r="D19" s="4">
        <f>0.067+1.446</f>
        <v>1.5129999999999999</v>
      </c>
      <c r="E19" s="54">
        <f t="shared" si="0"/>
        <v>3168</v>
      </c>
      <c r="F19" s="5">
        <f t="shared" si="1"/>
        <v>523</v>
      </c>
      <c r="G19" s="5">
        <f t="shared" si="2"/>
        <v>4.8</v>
      </c>
      <c r="H19" s="5">
        <f t="shared" si="3"/>
        <v>9.4</v>
      </c>
      <c r="I19" s="5">
        <f t="shared" si="4"/>
        <v>1.4</v>
      </c>
      <c r="J19" s="5">
        <f>ROUND(100/(3.6*24),3)</f>
        <v>1.157</v>
      </c>
      <c r="K19" s="5">
        <f t="shared" si="5"/>
        <v>10.6</v>
      </c>
      <c r="L19" s="55">
        <v>98</v>
      </c>
      <c r="M19" s="4">
        <v>200</v>
      </c>
      <c r="N19" s="5">
        <f t="shared" si="6"/>
        <v>5</v>
      </c>
      <c r="O19" s="5"/>
      <c r="P19" s="4">
        <v>98</v>
      </c>
      <c r="Q19" s="4">
        <v>98</v>
      </c>
      <c r="R19" s="5">
        <f t="shared" si="7"/>
        <v>0</v>
      </c>
      <c r="S19" s="5">
        <f t="shared" si="8"/>
        <v>5</v>
      </c>
      <c r="T19" s="5">
        <f t="shared" si="9"/>
        <v>96.85</v>
      </c>
      <c r="U19" s="5">
        <f t="shared" si="10"/>
        <v>96.36</v>
      </c>
      <c r="V19" s="56">
        <f t="shared" si="11"/>
        <v>0.64</v>
      </c>
      <c r="W19" s="56">
        <f t="shared" si="12"/>
        <v>20.11</v>
      </c>
      <c r="X19" s="5">
        <f t="shared" si="13"/>
        <v>0.53</v>
      </c>
      <c r="Y19" s="4">
        <f t="shared" si="14"/>
        <v>0.53100000000000003</v>
      </c>
      <c r="Z19" s="4"/>
      <c r="AA19" s="5"/>
      <c r="AB19" s="5"/>
      <c r="AC19" s="57" t="str">
        <f t="shared" si="15"/>
        <v xml:space="preserve"> ok</v>
      </c>
    </row>
    <row r="20" spans="1:29">
      <c r="A20" s="47"/>
      <c r="B20" s="59" t="s">
        <v>74</v>
      </c>
      <c r="C20" s="53">
        <v>0.28189999999999998</v>
      </c>
      <c r="D20" s="4">
        <v>0.28189999999999998</v>
      </c>
      <c r="E20" s="54">
        <f t="shared" si="0"/>
        <v>591</v>
      </c>
      <c r="F20" s="5">
        <f t="shared" si="1"/>
        <v>98</v>
      </c>
      <c r="G20" s="5">
        <f t="shared" si="2"/>
        <v>0.9</v>
      </c>
      <c r="H20" s="5">
        <f t="shared" si="3"/>
        <v>1.8</v>
      </c>
      <c r="I20" s="5">
        <f t="shared" si="4"/>
        <v>0.3</v>
      </c>
      <c r="J20" s="5">
        <v>0</v>
      </c>
      <c r="K20" s="5">
        <f t="shared" si="5"/>
        <v>1.8</v>
      </c>
      <c r="L20" s="55">
        <v>50</v>
      </c>
      <c r="M20" s="4">
        <v>150</v>
      </c>
      <c r="N20" s="5">
        <f t="shared" si="6"/>
        <v>6.67</v>
      </c>
      <c r="O20" s="5"/>
      <c r="P20" s="4">
        <v>102</v>
      </c>
      <c r="Q20" s="4">
        <v>98</v>
      </c>
      <c r="R20" s="5">
        <f t="shared" si="7"/>
        <v>80</v>
      </c>
      <c r="S20" s="5">
        <f t="shared" si="8"/>
        <v>80</v>
      </c>
      <c r="T20" s="5">
        <f t="shared" si="9"/>
        <v>100.85</v>
      </c>
      <c r="U20" s="5">
        <f t="shared" si="10"/>
        <v>96.85</v>
      </c>
      <c r="V20" s="56">
        <f t="shared" si="11"/>
        <v>2.11</v>
      </c>
      <c r="W20" s="56">
        <f t="shared" si="12"/>
        <v>37.29</v>
      </c>
      <c r="X20" s="5">
        <f t="shared" si="13"/>
        <v>0.05</v>
      </c>
      <c r="Y20" s="4">
        <f t="shared" si="14"/>
        <v>0.14399999999999999</v>
      </c>
      <c r="Z20" s="4"/>
      <c r="AA20" s="5"/>
      <c r="AB20" s="5"/>
      <c r="AC20" s="57" t="str">
        <f t="shared" si="15"/>
        <v xml:space="preserve"> ok</v>
      </c>
    </row>
    <row r="21" spans="1:29">
      <c r="A21" s="47"/>
      <c r="B21" s="59" t="s">
        <v>75</v>
      </c>
      <c r="C21" s="53">
        <v>0.1384</v>
      </c>
      <c r="D21" s="4">
        <f>0.1384+0.2819</f>
        <v>0.42030000000000001</v>
      </c>
      <c r="E21" s="54">
        <f t="shared" si="0"/>
        <v>881</v>
      </c>
      <c r="F21" s="5">
        <f t="shared" si="1"/>
        <v>145</v>
      </c>
      <c r="G21" s="5">
        <f t="shared" si="2"/>
        <v>1.3</v>
      </c>
      <c r="H21" s="5">
        <f t="shared" si="3"/>
        <v>2.5</v>
      </c>
      <c r="I21" s="5">
        <f t="shared" si="4"/>
        <v>0.4</v>
      </c>
      <c r="J21" s="5">
        <v>0</v>
      </c>
      <c r="K21" s="5">
        <f t="shared" si="5"/>
        <v>2.5</v>
      </c>
      <c r="L21" s="55">
        <v>37</v>
      </c>
      <c r="M21" s="4">
        <v>150</v>
      </c>
      <c r="N21" s="5">
        <f t="shared" si="6"/>
        <v>6.67</v>
      </c>
      <c r="O21" s="5"/>
      <c r="P21" s="4">
        <v>98</v>
      </c>
      <c r="Q21" s="4">
        <v>98</v>
      </c>
      <c r="R21" s="5">
        <f t="shared" si="7"/>
        <v>0</v>
      </c>
      <c r="S21" s="5">
        <f t="shared" si="8"/>
        <v>6.67</v>
      </c>
      <c r="T21" s="5">
        <f t="shared" si="9"/>
        <v>96.85</v>
      </c>
      <c r="U21" s="5">
        <f t="shared" si="10"/>
        <v>96.6</v>
      </c>
      <c r="V21" s="56">
        <f t="shared" si="11"/>
        <v>0.61</v>
      </c>
      <c r="W21" s="56">
        <f t="shared" si="12"/>
        <v>10.78</v>
      </c>
      <c r="X21" s="5">
        <f t="shared" si="13"/>
        <v>0.23</v>
      </c>
      <c r="Y21" s="4">
        <f t="shared" si="14"/>
        <v>0.33500000000000002</v>
      </c>
      <c r="Z21" s="4"/>
      <c r="AA21" s="5"/>
      <c r="AB21" s="5"/>
      <c r="AC21" s="57" t="str">
        <f t="shared" si="15"/>
        <v xml:space="preserve"> ok</v>
      </c>
    </row>
    <row r="22" spans="1:29">
      <c r="A22" s="47"/>
      <c r="B22" s="59" t="s">
        <v>59</v>
      </c>
      <c r="C22" s="53">
        <v>0.1154</v>
      </c>
      <c r="D22" s="4">
        <v>0.1154</v>
      </c>
      <c r="E22" s="54">
        <f t="shared" si="0"/>
        <v>242</v>
      </c>
      <c r="F22" s="5">
        <f t="shared" si="1"/>
        <v>40</v>
      </c>
      <c r="G22" s="5">
        <f t="shared" si="2"/>
        <v>0.4</v>
      </c>
      <c r="H22" s="5">
        <f t="shared" si="3"/>
        <v>0.8</v>
      </c>
      <c r="I22" s="5">
        <f t="shared" si="4"/>
        <v>0.1</v>
      </c>
      <c r="J22" s="5">
        <v>0</v>
      </c>
      <c r="K22" s="5">
        <f t="shared" si="5"/>
        <v>0.8</v>
      </c>
      <c r="L22" s="55">
        <v>25.5</v>
      </c>
      <c r="M22" s="4">
        <v>150</v>
      </c>
      <c r="N22" s="5">
        <f t="shared" si="6"/>
        <v>6.67</v>
      </c>
      <c r="O22" s="5"/>
      <c r="P22" s="4">
        <v>102</v>
      </c>
      <c r="Q22" s="4">
        <v>100</v>
      </c>
      <c r="R22" s="5">
        <f t="shared" si="7"/>
        <v>78.430000000000007</v>
      </c>
      <c r="S22" s="5">
        <f t="shared" si="8"/>
        <v>78.430000000000007</v>
      </c>
      <c r="T22" s="5">
        <f t="shared" si="9"/>
        <v>100.85</v>
      </c>
      <c r="U22" s="5">
        <f t="shared" si="10"/>
        <v>98.85</v>
      </c>
      <c r="V22" s="56">
        <f t="shared" si="11"/>
        <v>2.09</v>
      </c>
      <c r="W22" s="56">
        <f t="shared" si="12"/>
        <v>36.93</v>
      </c>
      <c r="X22" s="5">
        <f t="shared" si="13"/>
        <v>0.02</v>
      </c>
      <c r="Y22" s="4">
        <f t="shared" si="14"/>
        <v>8.6999999999999994E-2</v>
      </c>
      <c r="Z22" s="4"/>
      <c r="AA22" s="5"/>
      <c r="AB22" s="5"/>
      <c r="AC22" s="57" t="str">
        <f t="shared" si="15"/>
        <v xml:space="preserve"> ok</v>
      </c>
    </row>
    <row r="23" spans="1:29">
      <c r="A23" s="47"/>
      <c r="B23" s="59" t="s">
        <v>60</v>
      </c>
      <c r="C23" s="53">
        <v>0.1656</v>
      </c>
      <c r="D23" s="4">
        <f>0.1656+0.1154</f>
        <v>0.28100000000000003</v>
      </c>
      <c r="E23" s="54">
        <f t="shared" si="0"/>
        <v>589</v>
      </c>
      <c r="F23" s="5">
        <f t="shared" si="1"/>
        <v>97</v>
      </c>
      <c r="G23" s="5">
        <f t="shared" si="2"/>
        <v>0.9</v>
      </c>
      <c r="H23" s="5">
        <f t="shared" si="3"/>
        <v>1.8</v>
      </c>
      <c r="I23" s="5">
        <f t="shared" si="4"/>
        <v>0.3</v>
      </c>
      <c r="J23" s="5">
        <v>0</v>
      </c>
      <c r="K23" s="5">
        <f t="shared" si="5"/>
        <v>1.8</v>
      </c>
      <c r="L23" s="55">
        <v>49</v>
      </c>
      <c r="M23" s="4">
        <v>150</v>
      </c>
      <c r="N23" s="5">
        <f t="shared" si="6"/>
        <v>6.67</v>
      </c>
      <c r="O23" s="5"/>
      <c r="P23" s="4">
        <v>100</v>
      </c>
      <c r="Q23" s="4">
        <v>98</v>
      </c>
      <c r="R23" s="5">
        <f t="shared" si="7"/>
        <v>40.82</v>
      </c>
      <c r="S23" s="5">
        <f t="shared" si="8"/>
        <v>40.82</v>
      </c>
      <c r="T23" s="5">
        <f t="shared" si="9"/>
        <v>98.85</v>
      </c>
      <c r="U23" s="5">
        <f t="shared" si="10"/>
        <v>96.85</v>
      </c>
      <c r="V23" s="56">
        <f t="shared" si="11"/>
        <v>1.51</v>
      </c>
      <c r="W23" s="56">
        <f t="shared" si="12"/>
        <v>26.68</v>
      </c>
      <c r="X23" s="5">
        <f t="shared" si="13"/>
        <v>7.0000000000000007E-2</v>
      </c>
      <c r="Y23" s="4">
        <f t="shared" si="14"/>
        <v>0.17399999999999999</v>
      </c>
      <c r="Z23" s="4"/>
      <c r="AA23" s="5"/>
      <c r="AB23" s="5"/>
      <c r="AC23" s="57" t="str">
        <f t="shared" si="15"/>
        <v xml:space="preserve"> ok</v>
      </c>
    </row>
    <row r="24" spans="1:29">
      <c r="A24" s="47"/>
      <c r="B24" s="59" t="s">
        <v>43</v>
      </c>
      <c r="C24" s="53">
        <v>4.0399999999999998E-2</v>
      </c>
      <c r="D24" s="4">
        <f>0.0404+0.4203+0.281</f>
        <v>0.74170000000000003</v>
      </c>
      <c r="E24" s="54">
        <f t="shared" si="0"/>
        <v>1553</v>
      </c>
      <c r="F24" s="5">
        <f t="shared" si="1"/>
        <v>256</v>
      </c>
      <c r="G24" s="5">
        <f t="shared" si="2"/>
        <v>2.4</v>
      </c>
      <c r="H24" s="5">
        <f t="shared" si="3"/>
        <v>4.7</v>
      </c>
      <c r="I24" s="5">
        <f t="shared" si="4"/>
        <v>0.7</v>
      </c>
      <c r="J24" s="5">
        <v>0</v>
      </c>
      <c r="K24" s="5">
        <f t="shared" si="5"/>
        <v>4.7</v>
      </c>
      <c r="L24" s="55">
        <v>30.2</v>
      </c>
      <c r="M24" s="4">
        <v>150</v>
      </c>
      <c r="N24" s="5">
        <f t="shared" si="6"/>
        <v>6.67</v>
      </c>
      <c r="O24" s="5"/>
      <c r="P24" s="4">
        <v>98</v>
      </c>
      <c r="Q24" s="4">
        <v>98</v>
      </c>
      <c r="R24" s="5">
        <f t="shared" si="7"/>
        <v>0</v>
      </c>
      <c r="S24" s="5">
        <f t="shared" si="8"/>
        <v>6.67</v>
      </c>
      <c r="T24" s="5">
        <f t="shared" si="9"/>
        <v>96.85</v>
      </c>
      <c r="U24" s="5">
        <f t="shared" si="10"/>
        <v>96.65</v>
      </c>
      <c r="V24" s="56">
        <f t="shared" si="11"/>
        <v>0.61</v>
      </c>
      <c r="W24" s="56">
        <f t="shared" si="12"/>
        <v>10.78</v>
      </c>
      <c r="X24" s="5">
        <f t="shared" si="13"/>
        <v>0.44</v>
      </c>
      <c r="Y24" s="4">
        <f t="shared" si="14"/>
        <v>0.47899999999999998</v>
      </c>
      <c r="Z24" s="4"/>
      <c r="AA24" s="5"/>
      <c r="AB24" s="5"/>
      <c r="AC24" s="57" t="str">
        <f t="shared" si="15"/>
        <v xml:space="preserve"> ok</v>
      </c>
    </row>
    <row r="25" spans="1:29">
      <c r="A25" s="47"/>
      <c r="B25" s="59" t="s">
        <v>61</v>
      </c>
      <c r="C25" s="53">
        <v>7.4899999999999994E-2</v>
      </c>
      <c r="D25" s="4">
        <v>7.4899999999999994E-2</v>
      </c>
      <c r="E25" s="54">
        <f t="shared" si="0"/>
        <v>157</v>
      </c>
      <c r="F25" s="5">
        <f t="shared" si="1"/>
        <v>26</v>
      </c>
      <c r="G25" s="5">
        <f t="shared" si="2"/>
        <v>0.2</v>
      </c>
      <c r="H25" s="5">
        <f t="shared" si="3"/>
        <v>0.4</v>
      </c>
      <c r="I25" s="5">
        <f t="shared" si="4"/>
        <v>0.1</v>
      </c>
      <c r="J25" s="5">
        <v>0</v>
      </c>
      <c r="K25" s="5">
        <f t="shared" si="5"/>
        <v>0.4</v>
      </c>
      <c r="L25" s="55">
        <v>38.5</v>
      </c>
      <c r="M25" s="4">
        <v>150</v>
      </c>
      <c r="N25" s="5">
        <f t="shared" si="6"/>
        <v>6.67</v>
      </c>
      <c r="O25" s="5"/>
      <c r="P25" s="4">
        <v>104</v>
      </c>
      <c r="Q25" s="4">
        <v>98</v>
      </c>
      <c r="R25" s="5">
        <f t="shared" si="7"/>
        <v>155.84</v>
      </c>
      <c r="S25" s="5">
        <f t="shared" si="8"/>
        <v>155.84</v>
      </c>
      <c r="T25" s="5">
        <f t="shared" si="9"/>
        <v>102.85</v>
      </c>
      <c r="U25" s="5">
        <f t="shared" si="10"/>
        <v>96.85</v>
      </c>
      <c r="V25" s="56">
        <f t="shared" si="11"/>
        <v>2.95</v>
      </c>
      <c r="W25" s="56">
        <f t="shared" si="12"/>
        <v>52.13</v>
      </c>
      <c r="X25" s="5">
        <f t="shared" si="13"/>
        <v>0.01</v>
      </c>
      <c r="Y25" s="4">
        <f t="shared" si="14"/>
        <v>5.8999999999999997E-2</v>
      </c>
      <c r="Z25" s="4"/>
      <c r="AA25" s="5"/>
      <c r="AB25" s="5"/>
      <c r="AC25" s="57" t="str">
        <f t="shared" si="15"/>
        <v xml:space="preserve"> ok</v>
      </c>
    </row>
    <row r="26" spans="1:29">
      <c r="A26" s="47"/>
      <c r="B26" s="59" t="s">
        <v>62</v>
      </c>
      <c r="C26" s="53">
        <v>0.2306</v>
      </c>
      <c r="D26" s="4">
        <v>0.2306</v>
      </c>
      <c r="E26" s="54">
        <f t="shared" si="0"/>
        <v>483</v>
      </c>
      <c r="F26" s="5">
        <f t="shared" si="1"/>
        <v>80</v>
      </c>
      <c r="G26" s="5">
        <f t="shared" si="2"/>
        <v>0.7</v>
      </c>
      <c r="H26" s="5">
        <f t="shared" si="3"/>
        <v>1.4</v>
      </c>
      <c r="I26" s="5">
        <f t="shared" si="4"/>
        <v>0.2</v>
      </c>
      <c r="J26" s="5">
        <v>0</v>
      </c>
      <c r="K26" s="5">
        <f t="shared" si="5"/>
        <v>1.4</v>
      </c>
      <c r="L26" s="55">
        <v>72.5</v>
      </c>
      <c r="M26" s="4">
        <v>150</v>
      </c>
      <c r="N26" s="5">
        <f t="shared" si="6"/>
        <v>6.67</v>
      </c>
      <c r="O26" s="5"/>
      <c r="P26" s="4">
        <v>102</v>
      </c>
      <c r="Q26" s="4">
        <v>98</v>
      </c>
      <c r="R26" s="5">
        <f t="shared" si="7"/>
        <v>55.17</v>
      </c>
      <c r="S26" s="5">
        <f t="shared" si="8"/>
        <v>55.17</v>
      </c>
      <c r="T26" s="5">
        <f t="shared" si="9"/>
        <v>100.85</v>
      </c>
      <c r="U26" s="5">
        <f t="shared" si="10"/>
        <v>96.85</v>
      </c>
      <c r="V26" s="56">
        <f t="shared" si="11"/>
        <v>1.75</v>
      </c>
      <c r="W26" s="56">
        <f t="shared" si="12"/>
        <v>30.93</v>
      </c>
      <c r="X26" s="5">
        <f t="shared" si="13"/>
        <v>0.05</v>
      </c>
      <c r="Y26" s="4">
        <f t="shared" si="14"/>
        <v>0.14399999999999999</v>
      </c>
      <c r="Z26" s="4"/>
      <c r="AA26" s="5"/>
      <c r="AB26" s="5"/>
      <c r="AC26" s="57" t="str">
        <f t="shared" si="15"/>
        <v xml:space="preserve"> ok</v>
      </c>
    </row>
    <row r="27" spans="1:29">
      <c r="A27" s="47"/>
      <c r="B27" s="59" t="s">
        <v>44</v>
      </c>
      <c r="C27" s="53">
        <v>4.2200000000000001E-2</v>
      </c>
      <c r="D27" s="4">
        <f>0.0422+D25+D24+D26</f>
        <v>1.0893999999999999</v>
      </c>
      <c r="E27" s="54">
        <f t="shared" si="0"/>
        <v>2281</v>
      </c>
      <c r="F27" s="5">
        <f t="shared" si="1"/>
        <v>376</v>
      </c>
      <c r="G27" s="5">
        <f t="shared" si="2"/>
        <v>3.5</v>
      </c>
      <c r="H27" s="5">
        <f t="shared" si="3"/>
        <v>6.8</v>
      </c>
      <c r="I27" s="5">
        <f t="shared" si="4"/>
        <v>1.1000000000000001</v>
      </c>
      <c r="J27" s="5">
        <v>0</v>
      </c>
      <c r="K27" s="5">
        <f t="shared" si="5"/>
        <v>6.8</v>
      </c>
      <c r="L27" s="55">
        <v>35.5</v>
      </c>
      <c r="M27" s="4">
        <v>150</v>
      </c>
      <c r="N27" s="5">
        <f t="shared" si="6"/>
        <v>6.67</v>
      </c>
      <c r="O27" s="5"/>
      <c r="P27" s="4">
        <v>98</v>
      </c>
      <c r="Q27" s="4">
        <v>98</v>
      </c>
      <c r="R27" s="5">
        <f t="shared" si="7"/>
        <v>0</v>
      </c>
      <c r="S27" s="5">
        <f t="shared" si="8"/>
        <v>6.67</v>
      </c>
      <c r="T27" s="5">
        <f t="shared" si="9"/>
        <v>96.85</v>
      </c>
      <c r="U27" s="5">
        <f t="shared" si="10"/>
        <v>96.61</v>
      </c>
      <c r="V27" s="56">
        <f t="shared" si="11"/>
        <v>0.61</v>
      </c>
      <c r="W27" s="56">
        <f t="shared" si="12"/>
        <v>10.78</v>
      </c>
      <c r="X27" s="5">
        <f t="shared" si="13"/>
        <v>0.63</v>
      </c>
      <c r="Y27" s="4">
        <f t="shared" si="14"/>
        <v>0.58399999999999996</v>
      </c>
      <c r="Z27" s="4"/>
      <c r="AA27" s="5"/>
      <c r="AB27" s="5"/>
      <c r="AC27" s="57" t="str">
        <f t="shared" si="15"/>
        <v xml:space="preserve"> ok</v>
      </c>
    </row>
    <row r="28" spans="1:29">
      <c r="A28" s="47"/>
      <c r="B28" s="59" t="s">
        <v>63</v>
      </c>
      <c r="C28" s="53">
        <v>4.3700000000000003E-2</v>
      </c>
      <c r="D28" s="4">
        <v>4.3700000000000003E-2</v>
      </c>
      <c r="E28" s="54">
        <f t="shared" si="0"/>
        <v>92</v>
      </c>
      <c r="F28" s="5">
        <f t="shared" si="1"/>
        <v>15</v>
      </c>
      <c r="G28" s="5">
        <f t="shared" si="2"/>
        <v>0.1</v>
      </c>
      <c r="H28" s="5">
        <f t="shared" si="3"/>
        <v>0.2</v>
      </c>
      <c r="I28" s="5">
        <f t="shared" si="4"/>
        <v>0</v>
      </c>
      <c r="J28" s="5">
        <v>0</v>
      </c>
      <c r="K28" s="5">
        <f t="shared" si="5"/>
        <v>0.2</v>
      </c>
      <c r="L28" s="55">
        <v>27.5</v>
      </c>
      <c r="M28" s="4">
        <v>150</v>
      </c>
      <c r="N28" s="5">
        <f t="shared" si="6"/>
        <v>6.67</v>
      </c>
      <c r="O28" s="5"/>
      <c r="P28" s="4">
        <v>102</v>
      </c>
      <c r="Q28" s="4">
        <v>98</v>
      </c>
      <c r="R28" s="5">
        <f t="shared" si="7"/>
        <v>145.44999999999999</v>
      </c>
      <c r="S28" s="5">
        <f t="shared" si="8"/>
        <v>145.44999999999999</v>
      </c>
      <c r="T28" s="5">
        <f t="shared" si="9"/>
        <v>100.85</v>
      </c>
      <c r="U28" s="5">
        <f t="shared" si="10"/>
        <v>96.85</v>
      </c>
      <c r="V28" s="56">
        <f t="shared" si="11"/>
        <v>2.85</v>
      </c>
      <c r="W28" s="56">
        <f t="shared" si="12"/>
        <v>50.36</v>
      </c>
      <c r="X28" s="5">
        <f t="shared" si="13"/>
        <v>0</v>
      </c>
      <c r="Y28" s="4">
        <f t="shared" si="14"/>
        <v>0</v>
      </c>
      <c r="Z28" s="4"/>
      <c r="AA28" s="5"/>
      <c r="AB28" s="5"/>
      <c r="AC28" s="57" t="str">
        <f t="shared" si="15"/>
        <v xml:space="preserve"> ok</v>
      </c>
    </row>
    <row r="29" spans="1:29">
      <c r="A29" s="47"/>
      <c r="B29" s="59" t="s">
        <v>64</v>
      </c>
      <c r="C29" s="53">
        <v>0.1205</v>
      </c>
      <c r="D29" s="4">
        <v>0.1205</v>
      </c>
      <c r="E29" s="54">
        <f t="shared" si="0"/>
        <v>253</v>
      </c>
      <c r="F29" s="5">
        <f t="shared" si="1"/>
        <v>42</v>
      </c>
      <c r="G29" s="5">
        <f t="shared" si="2"/>
        <v>0.4</v>
      </c>
      <c r="H29" s="5">
        <f t="shared" si="3"/>
        <v>0.8</v>
      </c>
      <c r="I29" s="5">
        <f t="shared" si="4"/>
        <v>0.1</v>
      </c>
      <c r="J29" s="5">
        <v>0</v>
      </c>
      <c r="K29" s="5">
        <f t="shared" si="5"/>
        <v>0.8</v>
      </c>
      <c r="L29" s="55">
        <v>23.5</v>
      </c>
      <c r="M29" s="4">
        <v>150</v>
      </c>
      <c r="N29" s="5">
        <f t="shared" si="6"/>
        <v>6.67</v>
      </c>
      <c r="O29" s="5"/>
      <c r="P29" s="4">
        <v>102</v>
      </c>
      <c r="Q29" s="4">
        <v>98</v>
      </c>
      <c r="R29" s="5">
        <f t="shared" si="7"/>
        <v>170.21</v>
      </c>
      <c r="S29" s="5">
        <f t="shared" si="8"/>
        <v>170.21</v>
      </c>
      <c r="T29" s="5">
        <f t="shared" si="9"/>
        <v>100.85</v>
      </c>
      <c r="U29" s="5">
        <f t="shared" si="10"/>
        <v>96.85</v>
      </c>
      <c r="V29" s="56">
        <f t="shared" si="11"/>
        <v>3.08</v>
      </c>
      <c r="W29" s="56">
        <f t="shared" si="12"/>
        <v>54.43</v>
      </c>
      <c r="X29" s="5">
        <f t="shared" si="13"/>
        <v>0.01</v>
      </c>
      <c r="Y29" s="4">
        <f t="shared" si="14"/>
        <v>5.8999999999999997E-2</v>
      </c>
      <c r="Z29" s="4"/>
      <c r="AA29" s="5"/>
      <c r="AB29" s="5"/>
      <c r="AC29" s="57" t="str">
        <f t="shared" si="15"/>
        <v xml:space="preserve"> ok</v>
      </c>
    </row>
    <row r="30" spans="1:29">
      <c r="A30" s="47"/>
      <c r="B30" s="59" t="s">
        <v>65</v>
      </c>
      <c r="C30" s="53">
        <v>3.8600000000000002E-2</v>
      </c>
      <c r="D30" s="4">
        <f>0.0386+0.1205</f>
        <v>0.15909999999999999</v>
      </c>
      <c r="E30" s="54">
        <f t="shared" si="0"/>
        <v>334</v>
      </c>
      <c r="F30" s="5">
        <f t="shared" si="1"/>
        <v>55</v>
      </c>
      <c r="G30" s="5">
        <f t="shared" si="2"/>
        <v>0.5</v>
      </c>
      <c r="H30" s="5">
        <f t="shared" si="3"/>
        <v>1</v>
      </c>
      <c r="I30" s="5">
        <f t="shared" si="4"/>
        <v>0.2</v>
      </c>
      <c r="J30" s="5">
        <v>0</v>
      </c>
      <c r="K30" s="5">
        <f t="shared" si="5"/>
        <v>1</v>
      </c>
      <c r="L30" s="55">
        <v>25.5</v>
      </c>
      <c r="M30" s="4">
        <v>150</v>
      </c>
      <c r="N30" s="5">
        <f t="shared" si="6"/>
        <v>6.67</v>
      </c>
      <c r="O30" s="5"/>
      <c r="P30" s="4">
        <v>98</v>
      </c>
      <c r="Q30" s="4">
        <v>98</v>
      </c>
      <c r="R30" s="5">
        <f t="shared" si="7"/>
        <v>0</v>
      </c>
      <c r="S30" s="5">
        <f t="shared" si="8"/>
        <v>6.67</v>
      </c>
      <c r="T30" s="5">
        <f t="shared" si="9"/>
        <v>96.85</v>
      </c>
      <c r="U30" s="5">
        <f t="shared" si="10"/>
        <v>96.68</v>
      </c>
      <c r="V30" s="56">
        <f t="shared" si="11"/>
        <v>0.61</v>
      </c>
      <c r="W30" s="56">
        <f t="shared" si="12"/>
        <v>10.78</v>
      </c>
      <c r="X30" s="5">
        <f t="shared" si="13"/>
        <v>0.09</v>
      </c>
      <c r="Y30" s="4">
        <f t="shared" si="14"/>
        <v>0.2</v>
      </c>
      <c r="Z30" s="4"/>
      <c r="AA30" s="5"/>
      <c r="AB30" s="5"/>
      <c r="AC30" s="57" t="str">
        <f t="shared" si="15"/>
        <v xml:space="preserve"> ok</v>
      </c>
    </row>
    <row r="31" spans="1:29">
      <c r="A31" s="47"/>
      <c r="B31" s="59" t="s">
        <v>66</v>
      </c>
      <c r="C31" s="53">
        <v>4.4600000000000001E-2</v>
      </c>
      <c r="D31" s="4">
        <f>0.0446+D27+D30+D28</f>
        <v>1.3368</v>
      </c>
      <c r="E31" s="54">
        <f t="shared" si="0"/>
        <v>2799</v>
      </c>
      <c r="F31" s="5">
        <f t="shared" si="1"/>
        <v>462</v>
      </c>
      <c r="G31" s="5">
        <f t="shared" si="2"/>
        <v>4.3</v>
      </c>
      <c r="H31" s="5">
        <f t="shared" si="3"/>
        <v>8.4</v>
      </c>
      <c r="I31" s="5">
        <f t="shared" si="4"/>
        <v>1.3</v>
      </c>
      <c r="J31" s="5">
        <v>0</v>
      </c>
      <c r="K31" s="5">
        <f t="shared" si="5"/>
        <v>8.4</v>
      </c>
      <c r="L31" s="55">
        <v>17</v>
      </c>
      <c r="M31" s="4">
        <v>150</v>
      </c>
      <c r="N31" s="5">
        <f t="shared" si="6"/>
        <v>6.67</v>
      </c>
      <c r="O31" s="5"/>
      <c r="P31" s="4">
        <v>98</v>
      </c>
      <c r="Q31" s="4">
        <v>98</v>
      </c>
      <c r="R31" s="5">
        <f t="shared" si="7"/>
        <v>0</v>
      </c>
      <c r="S31" s="5">
        <f t="shared" si="8"/>
        <v>6.67</v>
      </c>
      <c r="T31" s="5">
        <f t="shared" si="9"/>
        <v>96.85</v>
      </c>
      <c r="U31" s="5">
        <f t="shared" si="10"/>
        <v>96.74</v>
      </c>
      <c r="V31" s="56">
        <f t="shared" si="11"/>
        <v>0.61</v>
      </c>
      <c r="W31" s="56">
        <f t="shared" si="12"/>
        <v>10.78</v>
      </c>
      <c r="X31" s="5">
        <f t="shared" si="13"/>
        <v>0.78</v>
      </c>
      <c r="Y31" s="4">
        <f t="shared" si="14"/>
        <v>0.65800000000000003</v>
      </c>
      <c r="Z31" s="4"/>
      <c r="AA31" s="5"/>
      <c r="AB31" s="5"/>
      <c r="AC31" s="57" t="str">
        <f t="shared" si="15"/>
        <v xml:space="preserve"> ok</v>
      </c>
    </row>
    <row r="32" spans="1:29">
      <c r="A32" s="47"/>
      <c r="B32" s="59" t="s">
        <v>67</v>
      </c>
      <c r="C32" s="53">
        <v>0.10879999999999999</v>
      </c>
      <c r="D32" s="4">
        <f>0.1088+D31+D19</f>
        <v>2.9585999999999997</v>
      </c>
      <c r="E32" s="54">
        <f t="shared" si="0"/>
        <v>6195</v>
      </c>
      <c r="F32" s="5">
        <f t="shared" si="1"/>
        <v>1022</v>
      </c>
      <c r="G32" s="5">
        <f t="shared" si="2"/>
        <v>9.5</v>
      </c>
      <c r="H32" s="5">
        <f t="shared" si="3"/>
        <v>18.5</v>
      </c>
      <c r="I32" s="5">
        <f t="shared" si="4"/>
        <v>2.9</v>
      </c>
      <c r="J32" s="5">
        <f>ROUND(100/(3.6*24),3)</f>
        <v>1.157</v>
      </c>
      <c r="K32" s="5">
        <f t="shared" si="5"/>
        <v>19.7</v>
      </c>
      <c r="L32" s="55">
        <v>85</v>
      </c>
      <c r="M32" s="4">
        <v>250</v>
      </c>
      <c r="N32" s="5">
        <f t="shared" si="6"/>
        <v>4</v>
      </c>
      <c r="O32" s="5"/>
      <c r="P32" s="4">
        <v>98</v>
      </c>
      <c r="Q32" s="4">
        <v>98</v>
      </c>
      <c r="R32" s="5">
        <f t="shared" si="7"/>
        <v>0</v>
      </c>
      <c r="S32" s="5">
        <f t="shared" si="8"/>
        <v>4</v>
      </c>
      <c r="T32" s="5">
        <f t="shared" si="9"/>
        <v>96.85</v>
      </c>
      <c r="U32" s="5">
        <f t="shared" si="10"/>
        <v>96.51</v>
      </c>
      <c r="V32" s="56">
        <f t="shared" si="11"/>
        <v>0.66</v>
      </c>
      <c r="W32" s="56">
        <f t="shared" si="12"/>
        <v>32.4</v>
      </c>
      <c r="X32" s="5">
        <f t="shared" si="13"/>
        <v>0.61</v>
      </c>
      <c r="Y32" s="4">
        <f t="shared" si="14"/>
        <v>0.57399999999999995</v>
      </c>
      <c r="Z32" s="60"/>
      <c r="AA32" s="56"/>
      <c r="AB32" s="56"/>
      <c r="AC32" s="57" t="str">
        <f t="shared" si="15"/>
        <v xml:space="preserve"> ok</v>
      </c>
    </row>
    <row r="33" spans="2:29">
      <c r="B33" s="59" t="s">
        <v>68</v>
      </c>
      <c r="C33" s="53">
        <v>5.1799999999999999E-2</v>
      </c>
      <c r="D33" s="61">
        <f>0.0518+D32</f>
        <v>3.0103999999999997</v>
      </c>
      <c r="E33" s="54">
        <f t="shared" si="0"/>
        <v>6304</v>
      </c>
      <c r="F33" s="5">
        <f t="shared" si="1"/>
        <v>1040</v>
      </c>
      <c r="G33" s="5">
        <f t="shared" si="2"/>
        <v>9.6</v>
      </c>
      <c r="H33" s="5">
        <f t="shared" si="3"/>
        <v>18.7</v>
      </c>
      <c r="I33" s="5">
        <f t="shared" si="4"/>
        <v>2.9</v>
      </c>
      <c r="J33" s="5">
        <f>ROUND(100/(3.6*24),3)</f>
        <v>1.157</v>
      </c>
      <c r="K33" s="5">
        <f t="shared" si="5"/>
        <v>19.899999999999999</v>
      </c>
      <c r="L33" s="55">
        <v>85</v>
      </c>
      <c r="M33" s="4">
        <v>250</v>
      </c>
      <c r="N33" s="5">
        <f t="shared" si="6"/>
        <v>4</v>
      </c>
      <c r="O33" s="62"/>
      <c r="P33" s="4">
        <v>98</v>
      </c>
      <c r="Q33" s="4">
        <v>98</v>
      </c>
      <c r="R33" s="5">
        <f t="shared" si="7"/>
        <v>0</v>
      </c>
      <c r="S33" s="5">
        <f t="shared" si="8"/>
        <v>4</v>
      </c>
      <c r="T33" s="5">
        <f t="shared" si="9"/>
        <v>96.85</v>
      </c>
      <c r="U33" s="5">
        <f t="shared" si="10"/>
        <v>96.51</v>
      </c>
      <c r="V33" s="56">
        <f t="shared" si="11"/>
        <v>0.66</v>
      </c>
      <c r="W33" s="56">
        <f t="shared" si="12"/>
        <v>32.4</v>
      </c>
      <c r="X33" s="5">
        <f t="shared" si="13"/>
        <v>0.61</v>
      </c>
      <c r="Y33" s="4">
        <f t="shared" si="14"/>
        <v>0.57399999999999995</v>
      </c>
      <c r="Z33" s="61"/>
      <c r="AA33" s="62"/>
      <c r="AB33" s="62"/>
      <c r="AC33" s="57" t="str">
        <f>IF((AND(X33&lt;0.85,Y33&lt;0.8,AA33&lt;3,AA33&gt;0.3))="false","not ok"," ok")</f>
        <v xml:space="preserve"> ok</v>
      </c>
    </row>
    <row r="34" spans="2:29">
      <c r="B34" s="59" t="s">
        <v>69</v>
      </c>
      <c r="C34" s="53">
        <v>0.1704</v>
      </c>
      <c r="D34" s="61">
        <v>0.1704</v>
      </c>
      <c r="E34" s="54">
        <f t="shared" si="0"/>
        <v>357</v>
      </c>
      <c r="F34" s="5">
        <f t="shared" si="1"/>
        <v>59</v>
      </c>
      <c r="G34" s="5">
        <f t="shared" si="2"/>
        <v>0.5</v>
      </c>
      <c r="H34" s="5">
        <f t="shared" si="3"/>
        <v>1</v>
      </c>
      <c r="I34" s="5">
        <f t="shared" si="4"/>
        <v>0.2</v>
      </c>
      <c r="J34" s="5">
        <v>0</v>
      </c>
      <c r="K34" s="5">
        <f t="shared" si="5"/>
        <v>1</v>
      </c>
      <c r="L34" s="55">
        <v>28.3</v>
      </c>
      <c r="M34" s="4">
        <v>150</v>
      </c>
      <c r="N34" s="5">
        <f t="shared" si="6"/>
        <v>6.67</v>
      </c>
      <c r="O34" s="62"/>
      <c r="P34" s="4">
        <v>102</v>
      </c>
      <c r="Q34" s="4">
        <v>98</v>
      </c>
      <c r="R34" s="5">
        <f t="shared" si="7"/>
        <v>141.34</v>
      </c>
      <c r="S34" s="5">
        <f t="shared" si="8"/>
        <v>141.34</v>
      </c>
      <c r="T34" s="5">
        <f t="shared" si="9"/>
        <v>100.85</v>
      </c>
      <c r="U34" s="5">
        <f t="shared" si="10"/>
        <v>96.85</v>
      </c>
      <c r="V34" s="56">
        <f t="shared" si="11"/>
        <v>2.81</v>
      </c>
      <c r="W34" s="56">
        <f t="shared" si="12"/>
        <v>49.66</v>
      </c>
      <c r="X34" s="5">
        <f t="shared" si="13"/>
        <v>0.02</v>
      </c>
      <c r="Y34" s="4">
        <f t="shared" si="14"/>
        <v>8.6999999999999994E-2</v>
      </c>
      <c r="Z34" s="61"/>
      <c r="AA34" s="62"/>
      <c r="AB34" s="62"/>
      <c r="AC34" s="57" t="str">
        <f t="shared" si="15"/>
        <v xml:space="preserve"> ok</v>
      </c>
    </row>
    <row r="35" spans="2:29">
      <c r="B35" s="59" t="s">
        <v>70</v>
      </c>
      <c r="C35" s="53">
        <v>9.9199999999999997E-2</v>
      </c>
      <c r="D35" s="61">
        <v>9.9199999999999997E-2</v>
      </c>
      <c r="E35" s="54">
        <f t="shared" si="0"/>
        <v>208</v>
      </c>
      <c r="F35" s="5">
        <f t="shared" si="1"/>
        <v>34</v>
      </c>
      <c r="G35" s="5">
        <f t="shared" si="2"/>
        <v>0.3</v>
      </c>
      <c r="H35" s="5">
        <f t="shared" si="3"/>
        <v>0.6</v>
      </c>
      <c r="I35" s="5">
        <f t="shared" si="4"/>
        <v>0.1</v>
      </c>
      <c r="J35" s="5">
        <v>0</v>
      </c>
      <c r="K35" s="5">
        <f t="shared" si="5"/>
        <v>0.6</v>
      </c>
      <c r="L35" s="55">
        <v>51.8</v>
      </c>
      <c r="M35" s="4">
        <v>150</v>
      </c>
      <c r="N35" s="5">
        <f t="shared" si="6"/>
        <v>6.67</v>
      </c>
      <c r="O35" s="62"/>
      <c r="P35" s="4">
        <v>104</v>
      </c>
      <c r="Q35" s="4">
        <v>98</v>
      </c>
      <c r="R35" s="5">
        <f t="shared" si="7"/>
        <v>115.83</v>
      </c>
      <c r="S35" s="5">
        <f t="shared" si="8"/>
        <v>115.83</v>
      </c>
      <c r="T35" s="5">
        <f t="shared" si="9"/>
        <v>102.85</v>
      </c>
      <c r="U35" s="5">
        <f t="shared" si="10"/>
        <v>96.85</v>
      </c>
      <c r="V35" s="56">
        <f t="shared" si="11"/>
        <v>2.54</v>
      </c>
      <c r="W35" s="56">
        <f t="shared" si="12"/>
        <v>44.89</v>
      </c>
      <c r="X35" s="5">
        <f t="shared" si="13"/>
        <v>0.01</v>
      </c>
      <c r="Y35" s="4">
        <f t="shared" si="14"/>
        <v>5.8999999999999997E-2</v>
      </c>
      <c r="Z35" s="61"/>
      <c r="AA35" s="62"/>
      <c r="AB35" s="62"/>
      <c r="AC35" s="57" t="str">
        <f t="shared" si="15"/>
        <v xml:space="preserve"> ok</v>
      </c>
    </row>
    <row r="36" spans="2:29">
      <c r="B36" s="59" t="s">
        <v>71</v>
      </c>
      <c r="C36" s="53">
        <v>8.2199999999999995E-2</v>
      </c>
      <c r="D36" s="61">
        <f>0.0822+D34+D35</f>
        <v>0.3518</v>
      </c>
      <c r="E36" s="54">
        <f t="shared" si="0"/>
        <v>737</v>
      </c>
      <c r="F36" s="5">
        <f t="shared" si="1"/>
        <v>122</v>
      </c>
      <c r="G36" s="5">
        <f t="shared" si="2"/>
        <v>1.1000000000000001</v>
      </c>
      <c r="H36" s="5">
        <f t="shared" si="3"/>
        <v>2.1</v>
      </c>
      <c r="I36" s="5">
        <f t="shared" si="4"/>
        <v>0.3</v>
      </c>
      <c r="J36" s="5">
        <v>0</v>
      </c>
      <c r="K36" s="5">
        <f t="shared" si="5"/>
        <v>2.1</v>
      </c>
      <c r="L36" s="55">
        <v>32.14</v>
      </c>
      <c r="M36" s="4">
        <v>150</v>
      </c>
      <c r="N36" s="5">
        <f t="shared" si="6"/>
        <v>6.67</v>
      </c>
      <c r="O36" s="62"/>
      <c r="P36" s="4">
        <v>98</v>
      </c>
      <c r="Q36" s="4">
        <v>98</v>
      </c>
      <c r="R36" s="5">
        <f t="shared" si="7"/>
        <v>0</v>
      </c>
      <c r="S36" s="5">
        <f t="shared" si="8"/>
        <v>6.67</v>
      </c>
      <c r="T36" s="5">
        <f t="shared" si="9"/>
        <v>96.85</v>
      </c>
      <c r="U36" s="5">
        <f t="shared" si="10"/>
        <v>96.64</v>
      </c>
      <c r="V36" s="56">
        <f t="shared" si="11"/>
        <v>0.61</v>
      </c>
      <c r="W36" s="56">
        <f t="shared" si="12"/>
        <v>10.78</v>
      </c>
      <c r="X36" s="5">
        <f t="shared" si="13"/>
        <v>0.19</v>
      </c>
      <c r="Y36" s="4">
        <f t="shared" si="14"/>
        <v>0.30099999999999999</v>
      </c>
      <c r="Z36" s="61"/>
      <c r="AA36" s="62"/>
      <c r="AB36" s="62"/>
      <c r="AC36" s="57" t="str">
        <f t="shared" si="15"/>
        <v xml:space="preserve"> ok</v>
      </c>
    </row>
    <row r="37" spans="2:29">
      <c r="B37" s="59" t="s">
        <v>45</v>
      </c>
      <c r="C37" s="53">
        <v>0.1449</v>
      </c>
      <c r="D37" s="61">
        <v>0.1449</v>
      </c>
      <c r="E37" s="54">
        <f t="shared" si="0"/>
        <v>304</v>
      </c>
      <c r="F37" s="5">
        <f t="shared" si="1"/>
        <v>50</v>
      </c>
      <c r="G37" s="5">
        <f t="shared" si="2"/>
        <v>0.5</v>
      </c>
      <c r="H37" s="5">
        <f t="shared" si="3"/>
        <v>1</v>
      </c>
      <c r="I37" s="5">
        <f t="shared" si="4"/>
        <v>0.2</v>
      </c>
      <c r="J37" s="5">
        <v>0</v>
      </c>
      <c r="K37" s="5">
        <f t="shared" si="5"/>
        <v>1</v>
      </c>
      <c r="L37" s="55">
        <v>54</v>
      </c>
      <c r="M37" s="4">
        <v>150</v>
      </c>
      <c r="N37" s="5">
        <f t="shared" si="6"/>
        <v>6.67</v>
      </c>
      <c r="O37" s="62"/>
      <c r="P37" s="4">
        <v>102</v>
      </c>
      <c r="Q37" s="4">
        <v>98</v>
      </c>
      <c r="R37" s="5">
        <f t="shared" si="7"/>
        <v>74.069999999999993</v>
      </c>
      <c r="S37" s="5">
        <f t="shared" si="8"/>
        <v>74.069999999999993</v>
      </c>
      <c r="T37" s="5">
        <f t="shared" si="9"/>
        <v>100.85</v>
      </c>
      <c r="U37" s="5">
        <f t="shared" si="10"/>
        <v>96.85</v>
      </c>
      <c r="V37" s="56">
        <f t="shared" si="11"/>
        <v>2.0299999999999998</v>
      </c>
      <c r="W37" s="56">
        <f t="shared" si="12"/>
        <v>35.869999999999997</v>
      </c>
      <c r="X37" s="5">
        <f t="shared" si="13"/>
        <v>0.03</v>
      </c>
      <c r="Y37" s="4">
        <f t="shared" si="14"/>
        <v>0.109</v>
      </c>
      <c r="Z37" s="61"/>
      <c r="AA37" s="62"/>
      <c r="AB37" s="62"/>
      <c r="AC37" s="57" t="str">
        <f t="shared" si="15"/>
        <v xml:space="preserve"> ok</v>
      </c>
    </row>
    <row r="38" spans="2:29">
      <c r="B38" s="59" t="s">
        <v>72</v>
      </c>
      <c r="C38" s="53">
        <v>0.22450000000000001</v>
      </c>
      <c r="D38" s="61">
        <f>0.2245+D37+D36</f>
        <v>0.72120000000000006</v>
      </c>
      <c r="E38" s="54">
        <f t="shared" si="0"/>
        <v>1511</v>
      </c>
      <c r="F38" s="5">
        <f t="shared" si="1"/>
        <v>249</v>
      </c>
      <c r="G38" s="5">
        <f t="shared" si="2"/>
        <v>2.2999999999999998</v>
      </c>
      <c r="H38" s="5">
        <f t="shared" si="3"/>
        <v>4.5</v>
      </c>
      <c r="I38" s="5">
        <f t="shared" si="4"/>
        <v>0.7</v>
      </c>
      <c r="J38" s="5">
        <v>0</v>
      </c>
      <c r="K38" s="5">
        <f t="shared" si="5"/>
        <v>4.5</v>
      </c>
      <c r="L38" s="55">
        <v>61.32</v>
      </c>
      <c r="M38" s="4">
        <v>150</v>
      </c>
      <c r="N38" s="5">
        <f t="shared" si="6"/>
        <v>6.67</v>
      </c>
      <c r="O38" s="62"/>
      <c r="P38" s="4">
        <v>98</v>
      </c>
      <c r="Q38" s="4">
        <v>98</v>
      </c>
      <c r="R38" s="5">
        <f t="shared" si="7"/>
        <v>0</v>
      </c>
      <c r="S38" s="5">
        <f t="shared" si="8"/>
        <v>6.67</v>
      </c>
      <c r="T38" s="5">
        <f t="shared" si="9"/>
        <v>96.85</v>
      </c>
      <c r="U38" s="5">
        <f t="shared" si="10"/>
        <v>96.44</v>
      </c>
      <c r="V38" s="56">
        <f t="shared" si="11"/>
        <v>0.61</v>
      </c>
      <c r="W38" s="56">
        <f t="shared" si="12"/>
        <v>10.78</v>
      </c>
      <c r="X38" s="5">
        <f t="shared" si="13"/>
        <v>0.42</v>
      </c>
      <c r="Y38" s="4">
        <f t="shared" si="14"/>
        <v>0.46700000000000003</v>
      </c>
      <c r="Z38" s="61"/>
      <c r="AA38" s="62"/>
      <c r="AB38" s="62"/>
      <c r="AC38" s="57" t="str">
        <f t="shared" si="15"/>
        <v xml:space="preserve"> ok</v>
      </c>
    </row>
    <row r="39" spans="2:29">
      <c r="B39" s="59" t="s">
        <v>73</v>
      </c>
      <c r="C39" s="53">
        <v>3.73E-2</v>
      </c>
      <c r="D39" s="62">
        <f>0.0373+D38</f>
        <v>0.75850000000000006</v>
      </c>
      <c r="E39" s="54">
        <f t="shared" si="0"/>
        <v>1589</v>
      </c>
      <c r="F39" s="5">
        <f t="shared" si="1"/>
        <v>262</v>
      </c>
      <c r="G39" s="5">
        <f t="shared" si="2"/>
        <v>2.4</v>
      </c>
      <c r="H39" s="5">
        <f t="shared" si="3"/>
        <v>4.7</v>
      </c>
      <c r="I39" s="5">
        <f t="shared" si="4"/>
        <v>0.7</v>
      </c>
      <c r="J39" s="5">
        <v>0</v>
      </c>
      <c r="K39" s="5">
        <f t="shared" si="5"/>
        <v>4.7</v>
      </c>
      <c r="L39" s="55">
        <v>18.899999999999999</v>
      </c>
      <c r="M39" s="4">
        <v>150</v>
      </c>
      <c r="N39" s="5">
        <f t="shared" si="6"/>
        <v>6.67</v>
      </c>
      <c r="O39" s="62"/>
      <c r="P39" s="4">
        <v>98</v>
      </c>
      <c r="Q39" s="4">
        <v>98</v>
      </c>
      <c r="R39" s="5">
        <f t="shared" si="7"/>
        <v>0</v>
      </c>
      <c r="S39" s="5">
        <f t="shared" si="8"/>
        <v>6.67</v>
      </c>
      <c r="T39" s="5">
        <f t="shared" si="9"/>
        <v>96.85</v>
      </c>
      <c r="U39" s="5">
        <f t="shared" si="10"/>
        <v>96.72</v>
      </c>
      <c r="V39" s="56">
        <f t="shared" si="11"/>
        <v>0.61</v>
      </c>
      <c r="W39" s="56">
        <f t="shared" si="12"/>
        <v>10.78</v>
      </c>
      <c r="X39" s="5">
        <f t="shared" si="13"/>
        <v>0.44</v>
      </c>
      <c r="Y39" s="4">
        <f t="shared" si="14"/>
        <v>0.47899999999999998</v>
      </c>
      <c r="Z39" s="62"/>
      <c r="AA39" s="62"/>
      <c r="AB39" s="62"/>
      <c r="AC39" s="57" t="str">
        <f t="shared" si="15"/>
        <v xml:space="preserve"> ok</v>
      </c>
    </row>
    <row r="40" spans="2:29" ht="15.75" thickBot="1">
      <c r="B40" s="63" t="s">
        <v>46</v>
      </c>
      <c r="C40" s="64">
        <v>0</v>
      </c>
      <c r="D40" s="65">
        <f>D39+D33</f>
        <v>3.7688999999999999</v>
      </c>
      <c r="E40" s="66">
        <f t="shared" si="0"/>
        <v>7892</v>
      </c>
      <c r="F40" s="67">
        <f t="shared" si="1"/>
        <v>1302</v>
      </c>
      <c r="G40" s="67">
        <f t="shared" si="2"/>
        <v>12.1</v>
      </c>
      <c r="H40" s="67">
        <f t="shared" si="3"/>
        <v>23.6</v>
      </c>
      <c r="I40" s="67">
        <f t="shared" si="4"/>
        <v>3.6</v>
      </c>
      <c r="J40" s="67">
        <f>ROUND(100/(3.6*24),3)</f>
        <v>1.157</v>
      </c>
      <c r="K40" s="67">
        <f t="shared" si="5"/>
        <v>24.8</v>
      </c>
      <c r="L40" s="65"/>
      <c r="M40" s="6">
        <v>250</v>
      </c>
      <c r="N40" s="67">
        <f t="shared" si="6"/>
        <v>4</v>
      </c>
      <c r="O40" s="65"/>
      <c r="P40" s="6">
        <v>98</v>
      </c>
      <c r="Q40" s="6">
        <v>98</v>
      </c>
      <c r="R40" s="67"/>
      <c r="S40" s="67">
        <f t="shared" si="8"/>
        <v>4</v>
      </c>
      <c r="T40" s="67">
        <f t="shared" si="9"/>
        <v>96.85</v>
      </c>
      <c r="U40" s="67">
        <f t="shared" si="10"/>
        <v>96.85</v>
      </c>
      <c r="V40" s="7">
        <f t="shared" si="11"/>
        <v>0.66</v>
      </c>
      <c r="W40" s="7">
        <f t="shared" si="12"/>
        <v>32.4</v>
      </c>
      <c r="X40" s="67">
        <f t="shared" si="13"/>
        <v>0.77</v>
      </c>
      <c r="Y40" s="6"/>
      <c r="Z40" s="65"/>
      <c r="AA40" s="65"/>
      <c r="AB40" s="65"/>
      <c r="AC40" s="68" t="str">
        <f t="shared" si="15"/>
        <v xml:space="preserve"> ok</v>
      </c>
    </row>
    <row r="41" spans="2:29" ht="15.75" thickTop="1">
      <c r="G41" s="48"/>
    </row>
    <row r="127" spans="13:13">
      <c r="M127" t="s">
        <v>80</v>
      </c>
    </row>
  </sheetData>
  <mergeCells count="19">
    <mergeCell ref="X2:AA2"/>
    <mergeCell ref="AB2:AB4"/>
    <mergeCell ref="B1:D1"/>
    <mergeCell ref="AC2:AC4"/>
    <mergeCell ref="K2:K3"/>
    <mergeCell ref="L2:L3"/>
    <mergeCell ref="M2:M3"/>
    <mergeCell ref="N2:N3"/>
    <mergeCell ref="P2:Q3"/>
    <mergeCell ref="R2:R3"/>
    <mergeCell ref="S2:S3"/>
    <mergeCell ref="T2:U3"/>
    <mergeCell ref="V2:W2"/>
    <mergeCell ref="J2:J3"/>
    <mergeCell ref="B2:B4"/>
    <mergeCell ref="C2:D3"/>
    <mergeCell ref="E2:E3"/>
    <mergeCell ref="F2:F3"/>
    <mergeCell ref="G2:I3"/>
  </mergeCells>
  <phoneticPr fontId="1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2"/>
  <dimension ref="A1:H29"/>
  <sheetViews>
    <sheetView topLeftCell="C12" zoomScale="130" zoomScaleNormal="130" workbookViewId="0">
      <selection activeCell="G16" sqref="G16"/>
    </sheetView>
  </sheetViews>
  <sheetFormatPr defaultRowHeight="15"/>
  <cols>
    <col min="6" max="6" width="14.85546875" customWidth="1"/>
    <col min="7" max="7" width="18.5703125" customWidth="1"/>
    <col min="8" max="8" width="16.140625" customWidth="1"/>
  </cols>
  <sheetData>
    <row r="1" spans="1:8">
      <c r="A1" s="3"/>
    </row>
    <row r="2" spans="1:8">
      <c r="A2" s="4"/>
    </row>
    <row r="3" spans="1:8">
      <c r="A3" s="4"/>
    </row>
    <row r="4" spans="1:8">
      <c r="A4" s="4"/>
    </row>
    <row r="5" spans="1:8">
      <c r="A5" s="4"/>
    </row>
    <row r="6" spans="1:8">
      <c r="A6" s="4"/>
    </row>
    <row r="7" spans="1:8">
      <c r="A7" s="4"/>
    </row>
    <row r="8" spans="1:8">
      <c r="A8" s="4"/>
    </row>
    <row r="9" spans="1:8">
      <c r="A9" s="4"/>
    </row>
    <row r="10" spans="1:8">
      <c r="A10" s="4"/>
    </row>
    <row r="11" spans="1:8">
      <c r="A11" s="4"/>
    </row>
    <row r="12" spans="1:8">
      <c r="A12" s="4"/>
    </row>
    <row r="13" spans="1:8">
      <c r="A13" s="4"/>
    </row>
    <row r="14" spans="1:8">
      <c r="A14" s="4"/>
    </row>
    <row r="15" spans="1:8">
      <c r="A15" s="4"/>
      <c r="E15" s="8" t="s">
        <v>76</v>
      </c>
      <c r="F15" s="8" t="s">
        <v>77</v>
      </c>
      <c r="G15" s="8" t="s">
        <v>78</v>
      </c>
      <c r="H15" s="8" t="s">
        <v>79</v>
      </c>
    </row>
    <row r="16" spans="1:8">
      <c r="A16" s="4"/>
      <c r="E16" s="9">
        <v>150</v>
      </c>
      <c r="F16" s="9">
        <f>ROUND((1000/E16),2)</f>
        <v>6.67</v>
      </c>
      <c r="G16" s="9">
        <f>ROUND(((E16/4000)^(2/3))*(F16/1000)^(0.5)/(0.015),2)</f>
        <v>0.61</v>
      </c>
      <c r="H16" s="9">
        <f>ROUND(G16*(PI()*E16^2/4000),0)</f>
        <v>11</v>
      </c>
    </row>
    <row r="17" spans="1:8">
      <c r="A17" s="4"/>
      <c r="E17" s="9">
        <v>200</v>
      </c>
      <c r="F17" s="9">
        <f t="shared" ref="F17:F29" si="0">ROUND((1000/E17),2)</f>
        <v>5</v>
      </c>
      <c r="G17" s="9">
        <f t="shared" ref="G17:G29" si="1">ROUND(((E17/4000)^(2/3))*(F17/1000)^(0.5)/(0.015),2)</f>
        <v>0.64</v>
      </c>
      <c r="H17" s="9">
        <f t="shared" ref="H17:H29" si="2">ROUND(G17*(PI()*E17^2/4000),0)</f>
        <v>20</v>
      </c>
    </row>
    <row r="18" spans="1:8">
      <c r="A18" s="4"/>
      <c r="E18" s="9">
        <v>250</v>
      </c>
      <c r="F18" s="9">
        <f t="shared" si="0"/>
        <v>4</v>
      </c>
      <c r="G18" s="9">
        <f t="shared" si="1"/>
        <v>0.66</v>
      </c>
      <c r="H18" s="9">
        <f t="shared" si="2"/>
        <v>32</v>
      </c>
    </row>
    <row r="19" spans="1:8">
      <c r="A19" s="4"/>
      <c r="E19" s="9">
        <v>300</v>
      </c>
      <c r="F19" s="9">
        <f t="shared" si="0"/>
        <v>3.33</v>
      </c>
      <c r="G19" s="9">
        <f t="shared" si="1"/>
        <v>0.68</v>
      </c>
      <c r="H19" s="9">
        <f t="shared" si="2"/>
        <v>48</v>
      </c>
    </row>
    <row r="20" spans="1:8">
      <c r="A20" s="4"/>
      <c r="E20" s="9">
        <v>400</v>
      </c>
      <c r="F20" s="9">
        <f t="shared" si="0"/>
        <v>2.5</v>
      </c>
      <c r="G20" s="9">
        <f t="shared" si="1"/>
        <v>0.72</v>
      </c>
      <c r="H20" s="9">
        <f t="shared" si="2"/>
        <v>90</v>
      </c>
    </row>
    <row r="21" spans="1:8">
      <c r="A21" s="4"/>
      <c r="E21" s="9">
        <v>500</v>
      </c>
      <c r="F21" s="9">
        <f t="shared" si="0"/>
        <v>2</v>
      </c>
      <c r="G21" s="9">
        <f t="shared" si="1"/>
        <v>0.75</v>
      </c>
      <c r="H21" s="9">
        <f t="shared" si="2"/>
        <v>147</v>
      </c>
    </row>
    <row r="22" spans="1:8">
      <c r="A22" s="4"/>
      <c r="E22" s="9">
        <v>600</v>
      </c>
      <c r="F22" s="9">
        <f t="shared" si="0"/>
        <v>1.67</v>
      </c>
      <c r="G22" s="9">
        <f t="shared" si="1"/>
        <v>0.77</v>
      </c>
      <c r="H22" s="9">
        <f t="shared" si="2"/>
        <v>218</v>
      </c>
    </row>
    <row r="23" spans="1:8">
      <c r="A23" s="4"/>
      <c r="E23" s="9">
        <v>700</v>
      </c>
      <c r="F23" s="9">
        <f t="shared" si="0"/>
        <v>1.43</v>
      </c>
      <c r="G23" s="9">
        <f t="shared" si="1"/>
        <v>0.79</v>
      </c>
      <c r="H23" s="9">
        <f t="shared" si="2"/>
        <v>304</v>
      </c>
    </row>
    <row r="24" spans="1:8">
      <c r="A24" s="4"/>
      <c r="E24" s="9">
        <v>800</v>
      </c>
      <c r="F24" s="9">
        <f t="shared" si="0"/>
        <v>1.25</v>
      </c>
      <c r="G24" s="9">
        <f t="shared" si="1"/>
        <v>0.81</v>
      </c>
      <c r="H24" s="9">
        <f t="shared" si="2"/>
        <v>407</v>
      </c>
    </row>
    <row r="25" spans="1:8">
      <c r="A25" s="4"/>
      <c r="E25" s="9">
        <v>900</v>
      </c>
      <c r="F25" s="9">
        <f t="shared" si="0"/>
        <v>1.1100000000000001</v>
      </c>
      <c r="G25" s="9">
        <f t="shared" si="1"/>
        <v>0.82</v>
      </c>
      <c r="H25" s="9">
        <f t="shared" si="2"/>
        <v>522</v>
      </c>
    </row>
    <row r="26" spans="1:8">
      <c r="A26" s="4"/>
      <c r="E26" s="9">
        <v>1000</v>
      </c>
      <c r="F26" s="9">
        <f t="shared" si="0"/>
        <v>1</v>
      </c>
      <c r="G26" s="9">
        <f t="shared" si="1"/>
        <v>0.84</v>
      </c>
      <c r="H26" s="9">
        <f t="shared" si="2"/>
        <v>660</v>
      </c>
    </row>
    <row r="27" spans="1:8">
      <c r="A27" s="4"/>
      <c r="E27" s="9">
        <v>1100</v>
      </c>
      <c r="F27" s="9">
        <f t="shared" si="0"/>
        <v>0.91</v>
      </c>
      <c r="G27" s="9">
        <f t="shared" si="1"/>
        <v>0.85</v>
      </c>
      <c r="H27" s="9">
        <f t="shared" si="2"/>
        <v>808</v>
      </c>
    </row>
    <row r="28" spans="1:8" ht="15.75" thickBot="1">
      <c r="A28" s="6"/>
      <c r="E28" s="9">
        <v>1200</v>
      </c>
      <c r="F28" s="9">
        <f t="shared" si="0"/>
        <v>0.83</v>
      </c>
      <c r="G28" s="9">
        <f t="shared" si="1"/>
        <v>0.86</v>
      </c>
      <c r="H28" s="9">
        <f t="shared" si="2"/>
        <v>973</v>
      </c>
    </row>
    <row r="29" spans="1:8" ht="15.75" thickTop="1">
      <c r="E29" s="9">
        <v>1300</v>
      </c>
      <c r="F29" s="9">
        <f t="shared" si="0"/>
        <v>0.77</v>
      </c>
      <c r="G29" s="9">
        <f t="shared" si="1"/>
        <v>0.87</v>
      </c>
      <c r="H29" s="9">
        <f t="shared" si="2"/>
        <v>1155</v>
      </c>
    </row>
  </sheetData>
  <phoneticPr fontId="1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3"/>
  <dimension ref="A1:L62"/>
  <sheetViews>
    <sheetView tabSelected="1" workbookViewId="0">
      <selection activeCell="F5" sqref="F5"/>
    </sheetView>
  </sheetViews>
  <sheetFormatPr defaultRowHeight="15"/>
  <sheetData>
    <row r="1" spans="1:12" ht="16.5">
      <c r="A1" s="10" t="s">
        <v>81</v>
      </c>
      <c r="B1" s="11" t="s">
        <v>82</v>
      </c>
      <c r="C1" s="12" t="s">
        <v>83</v>
      </c>
      <c r="D1" s="11" t="s">
        <v>84</v>
      </c>
      <c r="E1" s="13" t="s">
        <v>81</v>
      </c>
      <c r="F1" s="14" t="s">
        <v>82</v>
      </c>
      <c r="G1" s="12" t="s">
        <v>83</v>
      </c>
      <c r="H1" s="11" t="s">
        <v>84</v>
      </c>
      <c r="I1" s="15" t="s">
        <v>85</v>
      </c>
      <c r="J1" s="16" t="s">
        <v>82</v>
      </c>
      <c r="K1" s="17" t="s">
        <v>83</v>
      </c>
      <c r="L1" s="18" t="s">
        <v>84</v>
      </c>
    </row>
    <row r="2" spans="1:12" ht="16.5">
      <c r="A2" s="19" t="s">
        <v>19</v>
      </c>
      <c r="B2" s="20" t="s">
        <v>86</v>
      </c>
      <c r="C2" s="21" t="s">
        <v>18</v>
      </c>
      <c r="D2" s="20" t="s">
        <v>86</v>
      </c>
      <c r="E2" s="22" t="s">
        <v>19</v>
      </c>
      <c r="F2" s="23" t="s">
        <v>86</v>
      </c>
      <c r="G2" s="21" t="s">
        <v>18</v>
      </c>
      <c r="H2" s="20" t="s">
        <v>86</v>
      </c>
      <c r="I2" s="22" t="s">
        <v>19</v>
      </c>
      <c r="J2" s="20" t="s">
        <v>86</v>
      </c>
      <c r="K2" s="24" t="s">
        <v>18</v>
      </c>
      <c r="L2" s="25" t="s">
        <v>86</v>
      </c>
    </row>
    <row r="3" spans="1:12">
      <c r="A3" s="26">
        <v>1E-3</v>
      </c>
      <c r="B3" s="27">
        <v>2.3E-2</v>
      </c>
      <c r="C3" s="27">
        <v>0.17</v>
      </c>
      <c r="D3" s="27">
        <v>1.52E-2</v>
      </c>
      <c r="E3" s="27">
        <v>0.21</v>
      </c>
      <c r="F3" s="27">
        <v>0.309</v>
      </c>
      <c r="G3" s="27">
        <v>0.8</v>
      </c>
      <c r="H3" s="27">
        <v>0.17510000000000001</v>
      </c>
      <c r="I3" s="27">
        <v>0.80500000000000005</v>
      </c>
      <c r="J3" s="27">
        <v>0.70099999999999996</v>
      </c>
      <c r="K3" s="27">
        <v>1.08</v>
      </c>
      <c r="L3" s="28">
        <v>0.2964</v>
      </c>
    </row>
    <row r="4" spans="1:12">
      <c r="A4" s="29">
        <v>2</v>
      </c>
      <c r="B4" s="30">
        <v>3.2000000000000001E-2</v>
      </c>
      <c r="C4" s="30">
        <v>0.21</v>
      </c>
      <c r="D4" s="30">
        <v>2.1000000000000001E-2</v>
      </c>
      <c r="E4" s="30">
        <v>0.22</v>
      </c>
      <c r="F4" s="30">
        <v>0.316</v>
      </c>
      <c r="G4" s="30">
        <v>0.81</v>
      </c>
      <c r="H4" s="30">
        <v>0.1784</v>
      </c>
      <c r="I4" s="30">
        <v>0.81</v>
      </c>
      <c r="J4" s="30">
        <v>0.70499999999999996</v>
      </c>
      <c r="K4" s="30">
        <v>0.08</v>
      </c>
      <c r="L4" s="31">
        <v>0.2969</v>
      </c>
    </row>
    <row r="5" spans="1:12">
      <c r="A5" s="29">
        <v>3</v>
      </c>
      <c r="B5" s="30">
        <v>3.7999999999999999E-2</v>
      </c>
      <c r="C5" s="30">
        <v>0.24</v>
      </c>
      <c r="D5" s="30">
        <v>2.4899999999999999E-2</v>
      </c>
      <c r="E5" s="30">
        <v>0.23</v>
      </c>
      <c r="F5" s="30">
        <v>0.32400000000000001</v>
      </c>
      <c r="G5" s="30">
        <v>0.82</v>
      </c>
      <c r="H5" s="30">
        <v>0.182</v>
      </c>
      <c r="I5" s="30">
        <v>0.81499999999999995</v>
      </c>
      <c r="J5" s="30">
        <v>0.70899999999999996</v>
      </c>
      <c r="K5" s="30">
        <v>0.08</v>
      </c>
      <c r="L5" s="31">
        <v>0.2974</v>
      </c>
    </row>
    <row r="6" spans="1:12">
      <c r="A6" s="29">
        <v>4</v>
      </c>
      <c r="B6" s="30">
        <v>4.3999999999999997E-2</v>
      </c>
      <c r="C6" s="30">
        <v>0.26</v>
      </c>
      <c r="D6" s="30">
        <v>2.87E-2</v>
      </c>
      <c r="E6" s="30">
        <v>0.24</v>
      </c>
      <c r="F6" s="30">
        <v>0.33100000000000002</v>
      </c>
      <c r="G6" s="30">
        <v>0.83</v>
      </c>
      <c r="H6" s="30">
        <v>0.18509999999999999</v>
      </c>
      <c r="I6" s="30">
        <v>0.82</v>
      </c>
      <c r="J6" s="30">
        <v>0.71299999999999997</v>
      </c>
      <c r="K6" s="30">
        <v>0.08</v>
      </c>
      <c r="L6" s="31">
        <v>0.2979</v>
      </c>
    </row>
    <row r="7" spans="1:12">
      <c r="A7" s="32">
        <v>5</v>
      </c>
      <c r="B7" s="33">
        <v>4.9000000000000002E-2</v>
      </c>
      <c r="C7" s="33">
        <v>0.28000000000000003</v>
      </c>
      <c r="D7" s="33">
        <v>3.1899999999999998E-2</v>
      </c>
      <c r="E7" s="33">
        <v>0.25</v>
      </c>
      <c r="F7" s="33">
        <v>0.33900000000000002</v>
      </c>
      <c r="G7" s="33">
        <v>0.84</v>
      </c>
      <c r="H7" s="33">
        <v>0.18870000000000001</v>
      </c>
      <c r="I7" s="33">
        <v>0.82499999999999996</v>
      </c>
      <c r="J7" s="33">
        <v>0.71699999999999997</v>
      </c>
      <c r="K7" s="33">
        <v>0.08</v>
      </c>
      <c r="L7" s="34">
        <v>0.2984</v>
      </c>
    </row>
    <row r="8" spans="1:12">
      <c r="A8" s="26">
        <v>6</v>
      </c>
      <c r="B8" s="27">
        <v>5.2999999999999999E-2</v>
      </c>
      <c r="C8" s="27">
        <v>0.28999999999999998</v>
      </c>
      <c r="D8" s="27">
        <v>3.4500000000000003E-2</v>
      </c>
      <c r="E8" s="27">
        <v>0.26</v>
      </c>
      <c r="F8" s="27">
        <v>0.34599999999999997</v>
      </c>
      <c r="G8" s="27">
        <v>0.85</v>
      </c>
      <c r="H8" s="27">
        <v>0.1918</v>
      </c>
      <c r="I8" s="27">
        <v>0.83</v>
      </c>
      <c r="J8" s="27">
        <v>0.72099999999999997</v>
      </c>
      <c r="K8" s="27">
        <v>0.08</v>
      </c>
      <c r="L8" s="28">
        <v>0.2989</v>
      </c>
    </row>
    <row r="9" spans="1:12">
      <c r="A9" s="35">
        <v>7</v>
      </c>
      <c r="B9" s="30">
        <v>5.7000000000000002E-2</v>
      </c>
      <c r="C9" s="30">
        <v>0.3</v>
      </c>
      <c r="D9" s="30">
        <v>3.6999999999999998E-2</v>
      </c>
      <c r="E9" s="30">
        <v>0.27</v>
      </c>
      <c r="F9" s="30">
        <v>0.35299999999999998</v>
      </c>
      <c r="G9" s="30">
        <v>0.86</v>
      </c>
      <c r="H9" s="30">
        <v>0.1948</v>
      </c>
      <c r="I9" s="30">
        <v>0.83499999999999996</v>
      </c>
      <c r="J9" s="30">
        <v>0.72499999999999998</v>
      </c>
      <c r="K9" s="30">
        <v>0.08</v>
      </c>
      <c r="L9" s="31">
        <v>0.29930000000000001</v>
      </c>
    </row>
    <row r="10" spans="1:12">
      <c r="A10" s="29">
        <v>8</v>
      </c>
      <c r="B10" s="30">
        <v>6.0999999999999999E-2</v>
      </c>
      <c r="C10" s="30">
        <v>0.32</v>
      </c>
      <c r="D10" s="30">
        <v>3.95E-2</v>
      </c>
      <c r="E10" s="30">
        <v>0.28000000000000003</v>
      </c>
      <c r="F10" s="30">
        <v>0.36</v>
      </c>
      <c r="G10" s="30">
        <v>0.86</v>
      </c>
      <c r="H10" s="30">
        <v>0.1978</v>
      </c>
      <c r="I10" s="30">
        <v>0.84</v>
      </c>
      <c r="J10" s="30">
        <v>0.72899999999999998</v>
      </c>
      <c r="K10" s="30">
        <v>7.0000000000000007E-2</v>
      </c>
      <c r="L10" s="31">
        <v>0.29970000000000002</v>
      </c>
    </row>
    <row r="11" spans="1:12">
      <c r="A11" s="29">
        <v>9</v>
      </c>
      <c r="B11" s="30">
        <v>6.5000000000000002E-2</v>
      </c>
      <c r="C11" s="30">
        <v>0.33</v>
      </c>
      <c r="D11" s="30">
        <v>4.2000000000000003E-2</v>
      </c>
      <c r="E11" s="30">
        <v>0.28999999999999998</v>
      </c>
      <c r="F11" s="30">
        <v>0.36699999999999999</v>
      </c>
      <c r="G11" s="30">
        <v>0.87</v>
      </c>
      <c r="H11" s="30">
        <v>0.20069999999999999</v>
      </c>
      <c r="I11" s="30">
        <v>0.84499999999999997</v>
      </c>
      <c r="J11" s="30">
        <v>0.73399999999999999</v>
      </c>
      <c r="K11" s="30">
        <v>7.0000000000000007E-2</v>
      </c>
      <c r="L11" s="31">
        <v>0.30020000000000002</v>
      </c>
    </row>
    <row r="12" spans="1:12">
      <c r="A12" s="32">
        <v>0.01</v>
      </c>
      <c r="B12" s="33">
        <v>6.8000000000000005E-2</v>
      </c>
      <c r="C12" s="33">
        <v>0.34</v>
      </c>
      <c r="D12" s="33">
        <v>4.3900000000000002E-2</v>
      </c>
      <c r="E12" s="33">
        <v>0.3</v>
      </c>
      <c r="F12" s="33">
        <v>0.374</v>
      </c>
      <c r="G12" s="33">
        <v>0.88</v>
      </c>
      <c r="H12" s="33">
        <v>0.20369999999999999</v>
      </c>
      <c r="I12" s="33">
        <v>0.85499999999999998</v>
      </c>
      <c r="J12" s="33">
        <v>0.73799999999999999</v>
      </c>
      <c r="K12" s="33">
        <v>1.07</v>
      </c>
      <c r="L12" s="34">
        <v>0.30059999999999998</v>
      </c>
    </row>
    <row r="13" spans="1:12">
      <c r="A13" s="26">
        <v>11</v>
      </c>
      <c r="B13" s="27">
        <v>7.0999999999999994E-2</v>
      </c>
      <c r="C13" s="27">
        <v>0.35</v>
      </c>
      <c r="D13" s="27">
        <v>4.58E-2</v>
      </c>
      <c r="E13" s="27">
        <v>0.31</v>
      </c>
      <c r="F13" s="27">
        <v>0.38100000000000001</v>
      </c>
      <c r="G13" s="27">
        <v>0.89</v>
      </c>
      <c r="H13" s="27">
        <v>0.20660000000000001</v>
      </c>
      <c r="I13" s="27">
        <v>0.85499999999999998</v>
      </c>
      <c r="J13" s="27">
        <v>0.74199999999999999</v>
      </c>
      <c r="K13" s="27">
        <v>7.0000000000000007E-2</v>
      </c>
      <c r="L13" s="28">
        <v>0.30099999999999999</v>
      </c>
    </row>
    <row r="14" spans="1:12">
      <c r="A14" s="29">
        <v>12</v>
      </c>
      <c r="B14" s="30">
        <v>7.3999999999999996E-2</v>
      </c>
      <c r="C14" s="30">
        <v>0.36</v>
      </c>
      <c r="D14" s="30">
        <v>4.7600000000000003E-2</v>
      </c>
      <c r="E14" s="30">
        <v>0.32</v>
      </c>
      <c r="F14" s="30">
        <v>0.38700000000000001</v>
      </c>
      <c r="G14" s="30">
        <v>0.89</v>
      </c>
      <c r="H14" s="30">
        <v>0.20899999999999999</v>
      </c>
      <c r="I14" s="30">
        <v>0.86</v>
      </c>
      <c r="J14" s="36" t="s">
        <v>87</v>
      </c>
      <c r="K14" s="30">
        <v>7.0000000000000007E-2</v>
      </c>
      <c r="L14" s="31">
        <v>0.3014</v>
      </c>
    </row>
    <row r="15" spans="1:12">
      <c r="A15" s="29">
        <v>13</v>
      </c>
      <c r="B15" s="30">
        <v>7.6999999999999999E-2</v>
      </c>
      <c r="C15" s="30">
        <v>0.36</v>
      </c>
      <c r="D15" s="30">
        <v>4.9500000000000002E-2</v>
      </c>
      <c r="E15" s="30">
        <v>0.33</v>
      </c>
      <c r="F15" s="30">
        <v>0.39400000000000002</v>
      </c>
      <c r="G15" s="30">
        <v>0.9</v>
      </c>
      <c r="H15" s="30">
        <v>0.21179999999999999</v>
      </c>
      <c r="I15" s="30">
        <v>0.86499999999999999</v>
      </c>
      <c r="J15" s="36" t="s">
        <v>88</v>
      </c>
      <c r="K15" s="30">
        <v>7.0000000000000007E-2</v>
      </c>
      <c r="L15" s="31">
        <v>0.30180000000000001</v>
      </c>
    </row>
    <row r="16" spans="1:12">
      <c r="A16" s="29" t="s">
        <v>89</v>
      </c>
      <c r="B16" s="30">
        <v>0.08</v>
      </c>
      <c r="C16" s="30">
        <v>0.37</v>
      </c>
      <c r="D16" s="30">
        <v>5.1299999999999998E-2</v>
      </c>
      <c r="E16" s="30">
        <v>0.34</v>
      </c>
      <c r="F16" s="30">
        <v>0.40100000000000002</v>
      </c>
      <c r="G16" s="30">
        <v>0.91</v>
      </c>
      <c r="H16" s="30">
        <v>0.21460000000000001</v>
      </c>
      <c r="I16" s="30">
        <v>0.87</v>
      </c>
      <c r="J16" s="30">
        <v>0.75600000000000001</v>
      </c>
      <c r="K16" s="30">
        <v>7.0000000000000007E-2</v>
      </c>
      <c r="L16" s="31">
        <v>0.30220000000000002</v>
      </c>
    </row>
    <row r="17" spans="1:12">
      <c r="A17" s="32">
        <v>15</v>
      </c>
      <c r="B17" s="33">
        <v>8.3000000000000004E-2</v>
      </c>
      <c r="C17" s="33">
        <v>0.38</v>
      </c>
      <c r="D17" s="33">
        <v>5.3199999999999997E-2</v>
      </c>
      <c r="E17" s="33">
        <v>0.35</v>
      </c>
      <c r="F17" s="33">
        <v>0.40699999999999997</v>
      </c>
      <c r="G17" s="33">
        <v>0.92</v>
      </c>
      <c r="H17" s="33">
        <v>0.217</v>
      </c>
      <c r="I17" s="33">
        <v>0.875</v>
      </c>
      <c r="J17" s="33">
        <v>0.76100000000000001</v>
      </c>
      <c r="K17" s="33">
        <v>7.0000000000000007E-2</v>
      </c>
      <c r="L17" s="34">
        <v>0.30249999999999999</v>
      </c>
    </row>
    <row r="18" spans="1:12">
      <c r="A18" s="26">
        <v>16</v>
      </c>
      <c r="B18" s="27">
        <v>8.5999999999999993E-2</v>
      </c>
      <c r="C18" s="27">
        <v>0.39</v>
      </c>
      <c r="D18" s="27">
        <v>5.5E-2</v>
      </c>
      <c r="E18" s="27">
        <v>0.36</v>
      </c>
      <c r="F18" s="27">
        <v>0.41399999999999998</v>
      </c>
      <c r="G18" s="27">
        <v>0.92</v>
      </c>
      <c r="H18" s="27">
        <v>0.21970000000000001</v>
      </c>
      <c r="I18" s="27">
        <v>0.88</v>
      </c>
      <c r="J18" s="27">
        <v>0.76600000000000001</v>
      </c>
      <c r="K18" s="27">
        <v>7.0000000000000007E-2</v>
      </c>
      <c r="L18" s="28">
        <v>0.30280000000000001</v>
      </c>
    </row>
    <row r="19" spans="1:12">
      <c r="A19" s="29">
        <v>17</v>
      </c>
      <c r="B19" s="30">
        <v>8.7999999999999995E-2</v>
      </c>
      <c r="C19" s="30">
        <v>0.39</v>
      </c>
      <c r="D19" s="30">
        <v>5.62E-2</v>
      </c>
      <c r="E19" s="30">
        <v>0.37</v>
      </c>
      <c r="F19" s="30">
        <v>0.42</v>
      </c>
      <c r="G19" s="30">
        <v>0.93</v>
      </c>
      <c r="H19" s="30">
        <v>0.222</v>
      </c>
      <c r="I19" s="30">
        <v>0.88500000000000001</v>
      </c>
      <c r="J19" s="30">
        <v>0.77</v>
      </c>
      <c r="K19" s="30">
        <v>7.0000000000000007E-2</v>
      </c>
      <c r="L19" s="31">
        <v>0.30309999999999998</v>
      </c>
    </row>
    <row r="20" spans="1:12">
      <c r="A20" s="29">
        <v>18</v>
      </c>
      <c r="B20" s="30">
        <v>9.0999999999999998E-2</v>
      </c>
      <c r="C20" s="30">
        <v>0.4</v>
      </c>
      <c r="D20" s="30">
        <v>5.8099999999999999E-2</v>
      </c>
      <c r="E20" s="30">
        <v>0.38</v>
      </c>
      <c r="F20" s="30">
        <v>0.42599999999999999</v>
      </c>
      <c r="G20" s="30">
        <v>0.93</v>
      </c>
      <c r="H20" s="30">
        <v>0.2243</v>
      </c>
      <c r="I20" s="30">
        <v>0.89</v>
      </c>
      <c r="J20" s="30">
        <v>0.77500000000000002</v>
      </c>
      <c r="K20" s="37">
        <v>7.0000000000000007E-2</v>
      </c>
      <c r="L20" s="31">
        <v>0.30330000000000001</v>
      </c>
    </row>
    <row r="21" spans="1:12">
      <c r="A21" s="29">
        <v>19</v>
      </c>
      <c r="B21" s="30">
        <v>9.2999999999999999E-2</v>
      </c>
      <c r="C21" s="30">
        <v>0.41</v>
      </c>
      <c r="D21" s="30">
        <v>5.9299999999999999E-2</v>
      </c>
      <c r="E21" s="30">
        <v>0.39</v>
      </c>
      <c r="F21" s="30">
        <v>0.433</v>
      </c>
      <c r="G21" s="30">
        <v>0.94</v>
      </c>
      <c r="H21" s="30">
        <v>0.22689999999999999</v>
      </c>
      <c r="I21" s="30">
        <v>0.89500000000000002</v>
      </c>
      <c r="J21" s="30">
        <v>0.78100000000000003</v>
      </c>
      <c r="K21" s="37">
        <v>7.0000000000000007E-2</v>
      </c>
      <c r="L21" s="31">
        <v>0.30359999999999998</v>
      </c>
    </row>
    <row r="22" spans="1:12">
      <c r="A22" s="32">
        <v>0.02</v>
      </c>
      <c r="B22" s="33">
        <v>9.5000000000000001E-2</v>
      </c>
      <c r="C22" s="33">
        <v>0.41</v>
      </c>
      <c r="D22" s="33">
        <v>6.0499999999999998E-2</v>
      </c>
      <c r="E22" s="38" t="s">
        <v>90</v>
      </c>
      <c r="F22" s="33">
        <v>0.439</v>
      </c>
      <c r="G22" s="38" t="s">
        <v>91</v>
      </c>
      <c r="H22" s="33">
        <v>0.2291</v>
      </c>
      <c r="I22" s="33">
        <v>0.9</v>
      </c>
      <c r="J22" s="33">
        <v>0.78600000000000003</v>
      </c>
      <c r="K22" s="33">
        <v>1.07</v>
      </c>
      <c r="L22" s="34">
        <v>0.30380000000000001</v>
      </c>
    </row>
    <row r="23" spans="1:12">
      <c r="A23" s="26">
        <v>22</v>
      </c>
      <c r="B23" s="27">
        <v>0.1</v>
      </c>
      <c r="C23" s="27">
        <v>0.42</v>
      </c>
      <c r="D23" s="27">
        <v>6.3500000000000001E-2</v>
      </c>
      <c r="E23" s="27">
        <v>0.41</v>
      </c>
      <c r="F23" s="27">
        <v>0.44500000000000001</v>
      </c>
      <c r="G23" s="27">
        <v>0.95</v>
      </c>
      <c r="H23" s="27">
        <v>0.23130000000000001</v>
      </c>
      <c r="I23" s="27">
        <v>0.90500000000000003</v>
      </c>
      <c r="J23" s="27">
        <v>0.79100000000000004</v>
      </c>
      <c r="K23" s="27">
        <v>7.0000000000000007E-2</v>
      </c>
      <c r="L23" s="28">
        <v>0.30399999999999999</v>
      </c>
    </row>
    <row r="24" spans="1:12">
      <c r="A24" s="29">
        <v>24</v>
      </c>
      <c r="B24" s="30">
        <v>0.104</v>
      </c>
      <c r="C24" s="30">
        <v>0.43</v>
      </c>
      <c r="D24" s="30">
        <v>6.59E-2</v>
      </c>
      <c r="E24" s="30">
        <v>0.42</v>
      </c>
      <c r="F24" s="30">
        <v>0.45100000000000001</v>
      </c>
      <c r="G24" s="30">
        <v>0.96</v>
      </c>
      <c r="H24" s="30">
        <v>0.2334</v>
      </c>
      <c r="I24" s="30">
        <v>0.91</v>
      </c>
      <c r="J24" s="30">
        <v>0.79700000000000004</v>
      </c>
      <c r="K24" s="30">
        <v>7.0000000000000007E-2</v>
      </c>
      <c r="L24" s="31">
        <v>0.30409999999999998</v>
      </c>
    </row>
    <row r="25" spans="1:12">
      <c r="A25" s="29">
        <v>26</v>
      </c>
      <c r="B25" s="30">
        <v>0.108</v>
      </c>
      <c r="C25" s="30">
        <v>0.45</v>
      </c>
      <c r="D25" s="30">
        <v>6.83E-2</v>
      </c>
      <c r="E25" s="30">
        <v>0.43</v>
      </c>
      <c r="F25" s="30">
        <v>0.45800000000000002</v>
      </c>
      <c r="G25" s="30">
        <v>0.96</v>
      </c>
      <c r="H25" s="30">
        <v>0.2359</v>
      </c>
      <c r="I25" s="30">
        <v>0.91500000000000004</v>
      </c>
      <c r="J25" s="30">
        <v>0.80300000000000005</v>
      </c>
      <c r="K25" s="30">
        <v>0.06</v>
      </c>
      <c r="L25" s="31">
        <v>0.30420000000000003</v>
      </c>
    </row>
    <row r="26" spans="1:12">
      <c r="A26" s="29">
        <v>28</v>
      </c>
      <c r="B26" s="30">
        <v>0.112</v>
      </c>
      <c r="C26" s="30">
        <v>0.45</v>
      </c>
      <c r="D26" s="30">
        <v>7.0699999999999999E-2</v>
      </c>
      <c r="E26" s="30">
        <v>0.44</v>
      </c>
      <c r="F26" s="30">
        <v>0.46400000000000002</v>
      </c>
      <c r="G26" s="30">
        <v>0.97</v>
      </c>
      <c r="H26" s="30">
        <v>0.23799999999999999</v>
      </c>
      <c r="I26" s="30">
        <v>0.92</v>
      </c>
      <c r="J26" s="36" t="s">
        <v>92</v>
      </c>
      <c r="K26" s="30">
        <v>0.06</v>
      </c>
      <c r="L26" s="31">
        <v>0.30430000000000001</v>
      </c>
    </row>
    <row r="27" spans="1:12">
      <c r="A27" s="32">
        <v>30</v>
      </c>
      <c r="B27" s="33">
        <v>0.11600000000000001</v>
      </c>
      <c r="C27" s="33">
        <v>0.46</v>
      </c>
      <c r="D27" s="34">
        <v>7.3099999999999998E-2</v>
      </c>
      <c r="E27" s="32">
        <v>0.45</v>
      </c>
      <c r="F27" s="33">
        <v>0.47</v>
      </c>
      <c r="G27" s="33">
        <v>0.97</v>
      </c>
      <c r="H27" s="33">
        <v>0.24010000000000001</v>
      </c>
      <c r="I27" s="33">
        <v>0.92500000000000004</v>
      </c>
      <c r="J27" s="33">
        <v>0.81399999999999995</v>
      </c>
      <c r="K27" s="33">
        <v>0.06</v>
      </c>
      <c r="L27" s="34">
        <v>0.30430000000000001</v>
      </c>
    </row>
    <row r="28" spans="1:12">
      <c r="A28" s="39">
        <v>32</v>
      </c>
      <c r="B28" s="27">
        <v>0.12</v>
      </c>
      <c r="C28" s="27">
        <v>0.47</v>
      </c>
      <c r="D28" s="28">
        <v>7.5499999999999998E-2</v>
      </c>
      <c r="E28" s="26">
        <v>0.46</v>
      </c>
      <c r="F28" s="27">
        <v>0.47599999999999998</v>
      </c>
      <c r="G28" s="27">
        <v>0.98</v>
      </c>
      <c r="H28" s="27">
        <v>0.24199999999999999</v>
      </c>
      <c r="I28" s="27">
        <v>0.93</v>
      </c>
      <c r="J28" s="27">
        <v>0.82099999999999995</v>
      </c>
      <c r="K28" s="27">
        <v>0.06</v>
      </c>
      <c r="L28" s="28">
        <v>0.30430000000000001</v>
      </c>
    </row>
    <row r="29" spans="1:12">
      <c r="A29" s="29">
        <v>34</v>
      </c>
      <c r="B29" s="30">
        <v>0.123</v>
      </c>
      <c r="C29" s="30">
        <v>0.48</v>
      </c>
      <c r="D29" s="31">
        <v>7.7200000000000005E-2</v>
      </c>
      <c r="E29" s="29">
        <v>0.47</v>
      </c>
      <c r="F29" s="30">
        <v>0.48199999999999998</v>
      </c>
      <c r="G29" s="30">
        <v>0.99</v>
      </c>
      <c r="H29" s="30">
        <v>0.24410000000000001</v>
      </c>
      <c r="I29" s="30">
        <v>0.93500000000000005</v>
      </c>
      <c r="J29" s="30">
        <v>0.82699999999999996</v>
      </c>
      <c r="K29" s="30">
        <v>0.06</v>
      </c>
      <c r="L29" s="31">
        <v>0.30420000000000003</v>
      </c>
    </row>
    <row r="30" spans="1:12">
      <c r="A30" s="29">
        <v>36</v>
      </c>
      <c r="B30" s="30">
        <v>0.127</v>
      </c>
      <c r="C30" s="30">
        <v>0.49</v>
      </c>
      <c r="D30" s="30">
        <v>7.9600000000000004E-2</v>
      </c>
      <c r="E30" s="30">
        <v>0.48</v>
      </c>
      <c r="F30" s="30">
        <v>0.48799999999999999</v>
      </c>
      <c r="G30" s="30">
        <v>0.99</v>
      </c>
      <c r="H30" s="30">
        <v>0.24610000000000001</v>
      </c>
      <c r="I30" s="30">
        <v>0.94</v>
      </c>
      <c r="J30" s="30">
        <v>0.83399999999999996</v>
      </c>
      <c r="K30" s="30">
        <v>0.05</v>
      </c>
      <c r="L30" s="31">
        <v>0.30399999999999999</v>
      </c>
    </row>
    <row r="31" spans="1:12">
      <c r="A31" s="29" t="s">
        <v>93</v>
      </c>
      <c r="B31" s="30">
        <v>0.13</v>
      </c>
      <c r="C31" s="30">
        <v>0.5</v>
      </c>
      <c r="D31" s="30">
        <v>8.1299999999999997E-2</v>
      </c>
      <c r="E31" s="30">
        <v>0.49</v>
      </c>
      <c r="F31" s="30">
        <v>0.49399999999999999</v>
      </c>
      <c r="G31" s="30">
        <v>1</v>
      </c>
      <c r="H31" s="30">
        <v>0.24809999999999999</v>
      </c>
      <c r="I31" s="30">
        <v>0.94499999999999995</v>
      </c>
      <c r="J31" s="30">
        <v>0.84099999999999997</v>
      </c>
      <c r="K31" s="30">
        <v>0.05</v>
      </c>
      <c r="L31" s="31">
        <v>0.30370000000000003</v>
      </c>
    </row>
    <row r="32" spans="1:12">
      <c r="A32" s="32">
        <v>0.04</v>
      </c>
      <c r="B32" s="33">
        <v>0.13400000000000001</v>
      </c>
      <c r="C32" s="33" t="s">
        <v>94</v>
      </c>
      <c r="D32" s="34">
        <v>8.3699999999999997E-2</v>
      </c>
      <c r="E32" s="32">
        <v>0.5</v>
      </c>
      <c r="F32" s="33" t="s">
        <v>95</v>
      </c>
      <c r="G32" s="40" t="s">
        <v>96</v>
      </c>
      <c r="H32" s="33">
        <v>0.25</v>
      </c>
      <c r="I32" s="33">
        <v>0.95</v>
      </c>
      <c r="J32" s="33">
        <v>0.84899999999999998</v>
      </c>
      <c r="K32" s="33">
        <v>1.05</v>
      </c>
      <c r="L32" s="34">
        <v>0.30330000000000001</v>
      </c>
    </row>
    <row r="33" spans="1:12">
      <c r="A33" s="26">
        <v>45</v>
      </c>
      <c r="B33" s="27">
        <v>0.14099999999999999</v>
      </c>
      <c r="C33" s="27">
        <v>0.52</v>
      </c>
      <c r="D33" s="28">
        <v>8.77E-2</v>
      </c>
      <c r="E33" s="26">
        <v>0.51</v>
      </c>
      <c r="F33" s="27">
        <v>0.50600000000000001</v>
      </c>
      <c r="G33" s="27">
        <v>0</v>
      </c>
      <c r="H33" s="27">
        <v>0.25190000000000001</v>
      </c>
      <c r="I33" s="27">
        <v>0.95499999999999996</v>
      </c>
      <c r="J33" s="27">
        <v>0.85599999999999998</v>
      </c>
      <c r="K33" s="27">
        <v>0.05</v>
      </c>
      <c r="L33" s="28">
        <v>0.3029</v>
      </c>
    </row>
    <row r="34" spans="1:12">
      <c r="A34" s="29">
        <v>50</v>
      </c>
      <c r="B34" s="30">
        <v>0.14899999999999999</v>
      </c>
      <c r="C34" s="30">
        <v>0.54</v>
      </c>
      <c r="D34" s="31">
        <v>9.2299999999999993E-2</v>
      </c>
      <c r="E34" s="29">
        <v>0.52</v>
      </c>
      <c r="F34" s="30">
        <v>0.51200000000000001</v>
      </c>
      <c r="G34" s="30">
        <v>0.01</v>
      </c>
      <c r="H34" s="30">
        <v>0.25380000000000003</v>
      </c>
      <c r="I34" s="30">
        <v>0.96</v>
      </c>
      <c r="J34" s="30">
        <v>0.86499999999999999</v>
      </c>
      <c r="K34" s="30">
        <v>0.04</v>
      </c>
      <c r="L34" s="31">
        <v>0.30220000000000002</v>
      </c>
    </row>
    <row r="35" spans="1:12">
      <c r="A35" s="29">
        <v>55</v>
      </c>
      <c r="B35" s="30">
        <v>0.156</v>
      </c>
      <c r="C35" s="30">
        <v>0.55000000000000004</v>
      </c>
      <c r="D35" s="31">
        <v>9.6299999999999997E-2</v>
      </c>
      <c r="E35" s="29">
        <v>0.53</v>
      </c>
      <c r="F35" s="30">
        <v>0.51900000000000002</v>
      </c>
      <c r="G35" s="30">
        <v>0.01</v>
      </c>
      <c r="H35" s="30">
        <v>0.25590000000000002</v>
      </c>
      <c r="I35" s="30">
        <v>0.96499999999999997</v>
      </c>
      <c r="J35" s="30">
        <v>0.874</v>
      </c>
      <c r="K35" s="30">
        <v>0.04</v>
      </c>
      <c r="L35" s="31">
        <v>0.3014</v>
      </c>
    </row>
    <row r="36" spans="1:12">
      <c r="A36" s="29">
        <v>60</v>
      </c>
      <c r="B36" s="30">
        <v>0.16300000000000001</v>
      </c>
      <c r="C36" s="30">
        <v>0.56999999999999995</v>
      </c>
      <c r="D36" s="30">
        <v>0.1002</v>
      </c>
      <c r="E36" s="30">
        <v>0.54</v>
      </c>
      <c r="F36" s="30">
        <v>0.52500000000000002</v>
      </c>
      <c r="G36" s="30">
        <v>0.02</v>
      </c>
      <c r="H36" s="30">
        <v>0.25769999999999998</v>
      </c>
      <c r="I36" s="30">
        <v>0.97</v>
      </c>
      <c r="J36" s="30">
        <v>0.88300000000000001</v>
      </c>
      <c r="K36" s="30">
        <v>0.04</v>
      </c>
      <c r="L36" s="31">
        <v>0.3004</v>
      </c>
    </row>
    <row r="37" spans="1:12">
      <c r="A37" s="32">
        <v>65</v>
      </c>
      <c r="B37" s="33">
        <v>0.17</v>
      </c>
      <c r="C37" s="33">
        <v>0.57999999999999996</v>
      </c>
      <c r="D37" s="33">
        <v>0.1042</v>
      </c>
      <c r="E37" s="33">
        <v>0.55000000000000004</v>
      </c>
      <c r="F37" s="33">
        <v>0.53100000000000003</v>
      </c>
      <c r="G37" s="33">
        <v>0.02</v>
      </c>
      <c r="H37" s="33">
        <v>0.25950000000000001</v>
      </c>
      <c r="I37" s="33">
        <v>0.97499999999999998</v>
      </c>
      <c r="J37" s="33">
        <v>0.89400000000000002</v>
      </c>
      <c r="K37" s="33">
        <v>0.03</v>
      </c>
      <c r="L37" s="34">
        <v>0.2989</v>
      </c>
    </row>
    <row r="38" spans="1:12">
      <c r="A38" s="26">
        <v>70</v>
      </c>
      <c r="B38" s="27">
        <v>0.17599999999999999</v>
      </c>
      <c r="C38" s="27">
        <v>0.59</v>
      </c>
      <c r="D38" s="27">
        <v>0.1075</v>
      </c>
      <c r="E38" s="27">
        <v>0.56000000000000005</v>
      </c>
      <c r="F38" s="27">
        <v>0.53700000000000003</v>
      </c>
      <c r="G38" s="27">
        <v>0.02</v>
      </c>
      <c r="H38" s="27">
        <v>0.26119999999999999</v>
      </c>
      <c r="I38" s="27">
        <v>0.98</v>
      </c>
      <c r="J38" s="27">
        <v>0.90500000000000003</v>
      </c>
      <c r="K38" s="27">
        <v>0.03</v>
      </c>
      <c r="L38" s="28">
        <v>0.29720000000000002</v>
      </c>
    </row>
    <row r="39" spans="1:12">
      <c r="A39" s="29">
        <v>75</v>
      </c>
      <c r="B39" s="30">
        <v>0.182</v>
      </c>
      <c r="C39" s="30">
        <v>0.6</v>
      </c>
      <c r="D39" s="30">
        <v>0.1108</v>
      </c>
      <c r="E39" s="30">
        <v>0.56999999999999995</v>
      </c>
      <c r="F39" s="30">
        <v>0.54300000000000004</v>
      </c>
      <c r="G39" s="30">
        <v>0.03</v>
      </c>
      <c r="H39" s="31">
        <v>0.26290000000000002</v>
      </c>
      <c r="I39" s="29">
        <v>0.98499999999999999</v>
      </c>
      <c r="J39" s="30">
        <v>0.91900000000000004</v>
      </c>
      <c r="K39" s="30">
        <v>0.02</v>
      </c>
      <c r="L39" s="31">
        <v>0.29459999999999997</v>
      </c>
    </row>
    <row r="40" spans="1:12">
      <c r="A40" s="29">
        <v>80</v>
      </c>
      <c r="B40" s="30">
        <v>0.188</v>
      </c>
      <c r="C40" s="30">
        <v>0.61</v>
      </c>
      <c r="D40" s="30">
        <v>0.11409999999999999</v>
      </c>
      <c r="E40" s="30">
        <v>0.57999999999999996</v>
      </c>
      <c r="F40" s="30">
        <v>0.55000000000000004</v>
      </c>
      <c r="G40" s="30">
        <v>0.03</v>
      </c>
      <c r="H40" s="30">
        <v>0.26490000000000002</v>
      </c>
      <c r="I40" s="30">
        <v>0.99</v>
      </c>
      <c r="J40" s="30">
        <v>0.93500000000000005</v>
      </c>
      <c r="K40" s="30">
        <v>0.02</v>
      </c>
      <c r="L40" s="31">
        <v>0.2908</v>
      </c>
    </row>
    <row r="41" spans="1:12">
      <c r="A41" s="35">
        <v>85</v>
      </c>
      <c r="B41" s="30">
        <v>0.19400000000000001</v>
      </c>
      <c r="C41" s="30">
        <v>0.62</v>
      </c>
      <c r="D41" s="30">
        <v>0.1174</v>
      </c>
      <c r="E41" s="30">
        <v>0.59</v>
      </c>
      <c r="F41" s="30">
        <v>0.55600000000000005</v>
      </c>
      <c r="G41" s="30">
        <v>0.03</v>
      </c>
      <c r="H41" s="30">
        <v>0.26650000000000001</v>
      </c>
      <c r="I41" s="30">
        <v>0.995</v>
      </c>
      <c r="J41" s="30">
        <v>0.95599999999999996</v>
      </c>
      <c r="K41" s="30">
        <v>0.01</v>
      </c>
      <c r="L41" s="31">
        <v>0.28439999999999999</v>
      </c>
    </row>
    <row r="42" spans="1:12">
      <c r="A42" s="32">
        <v>0.09</v>
      </c>
      <c r="B42" s="33">
        <v>0.2</v>
      </c>
      <c r="C42" s="33">
        <v>0.63</v>
      </c>
      <c r="D42" s="33">
        <v>0.1206</v>
      </c>
      <c r="E42" s="33">
        <v>0.6</v>
      </c>
      <c r="F42" s="33">
        <v>0.56200000000000006</v>
      </c>
      <c r="G42" s="33">
        <v>1.04</v>
      </c>
      <c r="H42" s="33">
        <v>0.2681</v>
      </c>
      <c r="I42" s="30">
        <v>1</v>
      </c>
      <c r="J42" s="30">
        <v>1</v>
      </c>
      <c r="K42" s="30">
        <v>1</v>
      </c>
      <c r="L42" s="31">
        <v>0.25</v>
      </c>
    </row>
    <row r="43" spans="1:12">
      <c r="A43" s="26">
        <v>9.5000000000000001E-2</v>
      </c>
      <c r="B43" s="27">
        <v>0.20499999999999999</v>
      </c>
      <c r="C43" s="27">
        <v>0.64</v>
      </c>
      <c r="D43" s="27">
        <v>0.12330000000000001</v>
      </c>
      <c r="E43" s="27">
        <v>0.61</v>
      </c>
      <c r="F43" s="27">
        <v>0.56799999999999995</v>
      </c>
      <c r="G43" s="27">
        <v>0.04</v>
      </c>
      <c r="H43" s="27">
        <v>0.2697</v>
      </c>
      <c r="I43" s="41"/>
      <c r="J43" s="42"/>
      <c r="K43" s="42"/>
      <c r="L43" s="42"/>
    </row>
    <row r="44" spans="1:12">
      <c r="A44" s="29">
        <v>100</v>
      </c>
      <c r="B44" s="30">
        <v>0.21099999999999999</v>
      </c>
      <c r="C44" s="37">
        <v>0.65</v>
      </c>
      <c r="D44" s="30">
        <v>0.1265</v>
      </c>
      <c r="E44" s="30">
        <v>0.62</v>
      </c>
      <c r="F44" s="30">
        <v>0.57499999999999996</v>
      </c>
      <c r="G44" s="30">
        <v>0.04</v>
      </c>
      <c r="H44" s="30">
        <v>0.27150000000000002</v>
      </c>
      <c r="I44" s="41"/>
      <c r="J44" s="42"/>
      <c r="K44" s="42"/>
      <c r="L44" s="42"/>
    </row>
    <row r="45" spans="1:12">
      <c r="A45" s="29">
        <v>0.105</v>
      </c>
      <c r="B45" s="30">
        <v>0.216</v>
      </c>
      <c r="C45" s="30">
        <v>0.66</v>
      </c>
      <c r="D45" s="30">
        <v>0.12909999999999999</v>
      </c>
      <c r="E45" s="30">
        <v>0.63</v>
      </c>
      <c r="F45" s="30">
        <v>0.58099999999999996</v>
      </c>
      <c r="G45" s="30">
        <v>0.05</v>
      </c>
      <c r="H45" s="30">
        <v>0.27310000000000001</v>
      </c>
      <c r="I45" s="41"/>
      <c r="J45" s="42"/>
      <c r="K45" s="42"/>
      <c r="L45" s="42"/>
    </row>
    <row r="46" spans="1:12">
      <c r="A46" s="29">
        <v>0.11</v>
      </c>
      <c r="B46" s="30">
        <v>0.221</v>
      </c>
      <c r="C46" s="30">
        <v>0.67</v>
      </c>
      <c r="D46" s="30">
        <v>0.13170000000000001</v>
      </c>
      <c r="E46" s="30">
        <v>0.64</v>
      </c>
      <c r="F46" s="30">
        <v>0.58699999999999997</v>
      </c>
      <c r="G46" s="30">
        <v>0.05</v>
      </c>
      <c r="H46" s="31">
        <v>0.27450000000000002</v>
      </c>
      <c r="I46" s="42"/>
      <c r="J46" s="42"/>
      <c r="K46" s="42"/>
      <c r="L46" s="42"/>
    </row>
    <row r="47" spans="1:12">
      <c r="A47" s="32">
        <v>0.115</v>
      </c>
      <c r="B47" s="33">
        <v>0.22600000000000001</v>
      </c>
      <c r="C47" s="33">
        <v>0.68</v>
      </c>
      <c r="D47" s="33">
        <v>0.1343</v>
      </c>
      <c r="E47" s="33">
        <v>0.65</v>
      </c>
      <c r="F47" s="33">
        <v>0.59399999999999997</v>
      </c>
      <c r="G47" s="33">
        <v>0.05</v>
      </c>
      <c r="H47" s="34">
        <v>0.2762</v>
      </c>
      <c r="I47" s="42"/>
      <c r="J47" s="42"/>
      <c r="K47" s="42"/>
      <c r="L47" s="42"/>
    </row>
    <row r="48" spans="1:12">
      <c r="A48" s="26">
        <v>0.12</v>
      </c>
      <c r="B48" s="27">
        <v>0.23100000000000001</v>
      </c>
      <c r="C48" s="27">
        <v>0.69</v>
      </c>
      <c r="D48" s="27">
        <v>0.13689999999999999</v>
      </c>
      <c r="E48" s="27">
        <v>0.66</v>
      </c>
      <c r="F48" s="27">
        <v>0.6</v>
      </c>
      <c r="G48" s="27">
        <v>0.05</v>
      </c>
      <c r="H48" s="28">
        <v>0.27760000000000001</v>
      </c>
      <c r="I48" s="42"/>
      <c r="J48" s="42"/>
      <c r="K48" s="42"/>
      <c r="L48" s="42"/>
    </row>
    <row r="49" spans="1:12">
      <c r="A49" s="29">
        <v>0.125</v>
      </c>
      <c r="B49" s="30">
        <v>0.23599999999999999</v>
      </c>
      <c r="C49" s="30">
        <v>0.69</v>
      </c>
      <c r="D49" s="30">
        <v>0.13950000000000001</v>
      </c>
      <c r="E49" s="30">
        <v>0.67</v>
      </c>
      <c r="F49" s="30" t="s">
        <v>97</v>
      </c>
      <c r="G49" s="30">
        <v>0.06</v>
      </c>
      <c r="H49" s="31">
        <v>0.27929999999999999</v>
      </c>
      <c r="I49" s="42"/>
      <c r="J49" s="42"/>
      <c r="K49" s="42"/>
      <c r="L49" s="42"/>
    </row>
    <row r="50" spans="1:12">
      <c r="A50" s="29">
        <v>0.13</v>
      </c>
      <c r="B50" s="30">
        <v>0.24099999999999999</v>
      </c>
      <c r="C50" s="30" t="s">
        <v>98</v>
      </c>
      <c r="D50" s="30">
        <v>0.1421</v>
      </c>
      <c r="E50" s="30">
        <v>0.68</v>
      </c>
      <c r="F50" s="30">
        <v>0.61299999999999999</v>
      </c>
      <c r="G50" s="30">
        <v>0.06</v>
      </c>
      <c r="H50" s="31">
        <v>0.28060000000000002</v>
      </c>
      <c r="I50" s="42"/>
      <c r="J50" s="42"/>
      <c r="K50" s="42"/>
      <c r="L50" s="42"/>
    </row>
    <row r="51" spans="1:12">
      <c r="A51" s="29">
        <v>0.13500000000000001</v>
      </c>
      <c r="B51" s="30">
        <v>0.245</v>
      </c>
      <c r="C51" s="30">
        <v>0.71</v>
      </c>
      <c r="D51" s="30">
        <v>0.14410000000000001</v>
      </c>
      <c r="E51" s="30">
        <v>0.69</v>
      </c>
      <c r="F51" s="30">
        <v>0.62</v>
      </c>
      <c r="G51" s="30">
        <v>0.06</v>
      </c>
      <c r="H51" s="31">
        <v>0.28210000000000002</v>
      </c>
      <c r="I51" s="42"/>
      <c r="J51" s="42"/>
      <c r="K51" s="42"/>
      <c r="L51" s="42"/>
    </row>
    <row r="52" spans="1:12">
      <c r="A52" s="32">
        <v>0.14000000000000001</v>
      </c>
      <c r="B52" s="33">
        <v>0.25</v>
      </c>
      <c r="C52" s="33">
        <v>0.72</v>
      </c>
      <c r="D52" s="33">
        <v>0.14660000000000001</v>
      </c>
      <c r="E52" s="33">
        <v>0.7</v>
      </c>
      <c r="F52" s="33">
        <v>0.626</v>
      </c>
      <c r="G52" s="33">
        <v>1.06</v>
      </c>
      <c r="H52" s="34">
        <v>0.28339999999999999</v>
      </c>
      <c r="I52" s="42"/>
      <c r="J52" s="42"/>
      <c r="K52" s="42"/>
      <c r="L52" s="42"/>
    </row>
    <row r="53" spans="1:12">
      <c r="A53" s="26">
        <v>0.14499999999999999</v>
      </c>
      <c r="B53" s="27">
        <v>0.255</v>
      </c>
      <c r="C53" s="27">
        <v>0.72</v>
      </c>
      <c r="D53" s="27">
        <v>0.4491</v>
      </c>
      <c r="E53" s="27">
        <v>0.71</v>
      </c>
      <c r="F53" s="27">
        <v>0.63300000000000001</v>
      </c>
      <c r="G53" s="27">
        <v>0.06</v>
      </c>
      <c r="H53" s="28">
        <v>0.2848</v>
      </c>
      <c r="I53" s="42"/>
      <c r="J53" s="42"/>
      <c r="K53" s="42"/>
      <c r="L53" s="42"/>
    </row>
    <row r="54" spans="1:12">
      <c r="A54" s="29">
        <v>0.15</v>
      </c>
      <c r="B54" s="30">
        <v>0.25900000000000001</v>
      </c>
      <c r="C54" s="30">
        <v>0.73</v>
      </c>
      <c r="D54" s="30">
        <v>0.15110000000000001</v>
      </c>
      <c r="E54" s="30">
        <v>0.72</v>
      </c>
      <c r="F54" s="30">
        <v>0.64</v>
      </c>
      <c r="G54" s="30">
        <v>7.0000000000000007E-2</v>
      </c>
      <c r="H54" s="31">
        <v>0.28620000000000001</v>
      </c>
      <c r="I54" s="42"/>
      <c r="J54" s="42"/>
      <c r="K54" s="42"/>
      <c r="L54" s="42"/>
    </row>
    <row r="55" spans="1:12">
      <c r="A55" s="29">
        <v>0.155</v>
      </c>
      <c r="B55" s="30">
        <v>0.26300000000000001</v>
      </c>
      <c r="C55" s="37">
        <v>0.74</v>
      </c>
      <c r="D55" s="30">
        <v>0.15310000000000001</v>
      </c>
      <c r="E55" s="30">
        <v>0.73</v>
      </c>
      <c r="F55" s="30">
        <v>0.64600000000000002</v>
      </c>
      <c r="G55" s="30">
        <v>7.0000000000000007E-2</v>
      </c>
      <c r="H55" s="31">
        <v>0.28739999999999999</v>
      </c>
      <c r="I55" s="42"/>
      <c r="J55" s="42"/>
      <c r="K55" s="42"/>
      <c r="L55" s="42"/>
    </row>
    <row r="56" spans="1:12">
      <c r="A56" s="29">
        <v>0.16</v>
      </c>
      <c r="B56" s="30">
        <v>0.26800000000000002</v>
      </c>
      <c r="C56" s="37">
        <v>0.74</v>
      </c>
      <c r="D56" s="30">
        <v>0.15559999999999999</v>
      </c>
      <c r="E56" s="30">
        <v>0.74</v>
      </c>
      <c r="F56" s="30">
        <v>0.65300000000000002</v>
      </c>
      <c r="G56" s="30">
        <v>7.0000000000000007E-2</v>
      </c>
      <c r="H56" s="31">
        <v>0.28870000000000001</v>
      </c>
      <c r="I56" s="42"/>
      <c r="J56" s="42"/>
      <c r="K56" s="42"/>
      <c r="L56" s="42"/>
    </row>
    <row r="57" spans="1:12">
      <c r="A57" s="43">
        <v>0.16500000000000001</v>
      </c>
      <c r="B57" s="33">
        <v>0.27200000000000002</v>
      </c>
      <c r="C57" s="44">
        <v>0.75</v>
      </c>
      <c r="D57" s="33">
        <v>0.1575</v>
      </c>
      <c r="E57" s="33">
        <v>0.75</v>
      </c>
      <c r="F57" s="33">
        <v>0.66</v>
      </c>
      <c r="G57" s="33">
        <v>7.0000000000000007E-2</v>
      </c>
      <c r="H57" s="34">
        <v>0.28999999999999998</v>
      </c>
      <c r="I57" s="42"/>
      <c r="J57" s="42"/>
      <c r="K57" s="42"/>
      <c r="L57" s="42"/>
    </row>
    <row r="58" spans="1:12">
      <c r="A58" s="26">
        <v>0.17</v>
      </c>
      <c r="B58" s="27">
        <v>0.27600000000000002</v>
      </c>
      <c r="C58" s="45">
        <v>0.76</v>
      </c>
      <c r="D58" s="27">
        <v>0.1595</v>
      </c>
      <c r="E58" s="27">
        <v>0.76</v>
      </c>
      <c r="F58" s="27">
        <v>0.66700000000000004</v>
      </c>
      <c r="G58" s="27">
        <v>7.0000000000000007E-2</v>
      </c>
      <c r="H58" s="28">
        <v>0.29120000000000001</v>
      </c>
      <c r="I58" s="42"/>
      <c r="J58" s="42"/>
      <c r="K58" s="42"/>
      <c r="L58" s="42"/>
    </row>
    <row r="59" spans="1:12">
      <c r="A59" s="29">
        <v>0.17499999999999999</v>
      </c>
      <c r="B59" s="30">
        <v>0.28100000000000003</v>
      </c>
      <c r="C59" s="37">
        <v>0.76</v>
      </c>
      <c r="D59" s="30">
        <v>0.16189999999999999</v>
      </c>
      <c r="E59" s="30">
        <v>0.77</v>
      </c>
      <c r="F59" s="30">
        <v>0.67500000000000004</v>
      </c>
      <c r="G59" s="30">
        <v>7.0000000000000007E-2</v>
      </c>
      <c r="H59" s="31">
        <v>0.29249999999999998</v>
      </c>
      <c r="I59" s="42"/>
      <c r="J59" s="42"/>
      <c r="K59" s="42"/>
      <c r="L59" s="42"/>
    </row>
    <row r="60" spans="1:12">
      <c r="A60" s="29" t="s">
        <v>99</v>
      </c>
      <c r="B60" s="30">
        <v>0.28499999999999998</v>
      </c>
      <c r="C60" s="37">
        <v>0.77</v>
      </c>
      <c r="D60" s="30">
        <v>0.1638</v>
      </c>
      <c r="E60" s="30">
        <v>0.78</v>
      </c>
      <c r="F60" s="30">
        <v>0.68200000000000005</v>
      </c>
      <c r="G60" s="30">
        <v>7.0000000000000007E-2</v>
      </c>
      <c r="H60" s="31">
        <v>0.29360000000000003</v>
      </c>
      <c r="I60" s="42"/>
      <c r="J60" s="42"/>
      <c r="K60" s="42"/>
      <c r="L60" s="42"/>
    </row>
    <row r="61" spans="1:12">
      <c r="A61" s="29">
        <v>0.19</v>
      </c>
      <c r="B61" s="30">
        <v>0.29299999999999998</v>
      </c>
      <c r="C61" s="37">
        <v>0.78</v>
      </c>
      <c r="D61" s="30">
        <v>0.1676</v>
      </c>
      <c r="E61" s="30">
        <v>0.79</v>
      </c>
      <c r="F61" s="30">
        <v>0.68899999999999995</v>
      </c>
      <c r="G61" s="30">
        <v>7.0000000000000007E-2</v>
      </c>
      <c r="H61" s="31">
        <v>0.29470000000000002</v>
      </c>
      <c r="I61" s="42"/>
      <c r="J61" s="42"/>
      <c r="K61" s="42"/>
      <c r="L61" s="42"/>
    </row>
    <row r="62" spans="1:12">
      <c r="A62" s="46" t="s">
        <v>100</v>
      </c>
      <c r="B62" s="30">
        <v>0.30099999999999999</v>
      </c>
      <c r="C62" s="30">
        <v>0.79</v>
      </c>
      <c r="D62" s="30">
        <v>0.1714</v>
      </c>
      <c r="E62" s="30">
        <v>0.8</v>
      </c>
      <c r="F62" s="30">
        <v>0.69699999999999995</v>
      </c>
      <c r="G62" s="30">
        <v>1.07</v>
      </c>
      <c r="H62" s="31">
        <v>80.295000000000002</v>
      </c>
      <c r="I62" s="42"/>
      <c r="J62" s="42"/>
      <c r="K62" s="42"/>
      <c r="L62" s="42"/>
    </row>
  </sheetData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pg1</vt:lpstr>
      <vt:lpstr>pg2</vt:lpstr>
      <vt:lpstr>pg3</vt:lpstr>
    </vt:vector>
  </TitlesOfParts>
  <Company>Damasgate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niro</dc:creator>
  <cp:lastModifiedBy>Hany mohamed Ibrhim</cp:lastModifiedBy>
  <dcterms:created xsi:type="dcterms:W3CDTF">2010-12-16T23:43:55Z</dcterms:created>
  <dcterms:modified xsi:type="dcterms:W3CDTF">2012-06-04T13:37:57Z</dcterms:modified>
</cp:coreProperties>
</file>