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570" yWindow="630" windowWidth="19320" windowHeight="6735" firstSheet="1" activeTab="5"/>
  </bookViews>
  <sheets>
    <sheet name="0- المعطيات" sheetId="1" r:id="rId1"/>
    <sheet name="مواصفات المماسك" sheetId="11" r:id="rId2"/>
    <sheet name="1- تحديد الأبعاد الأولية" sheetId="2" r:id="rId3"/>
    <sheet name="2-تحديد الحمولات" sheetId="3" r:id="rId4"/>
    <sheet name="3- مسار الكابل" sheetId="4" r:id="rId5"/>
    <sheet name="4 - حساب قوة سبق الاجهاد" sheetId="6" r:id="rId6"/>
    <sheet name="4- تحقيق الاجهادات الناظمية" sheetId="5" r:id="rId7"/>
    <sheet name="5-تحقيق العزم في مرحلة الانكسار" sheetId="17" r:id="rId8"/>
    <sheet name="6-تحقيق القص في مرحلة انكسار" sheetId="18" r:id="rId9"/>
    <sheet name="7-الخواص الهندسية الصافية" sheetId="19" r:id="rId10"/>
    <sheet name="7-الحمولات الجديدة" sheetId="20" r:id="rId11"/>
    <sheet name="7-تحقيق الاجهادات في تنفيذ" sheetId="21" r:id="rId12"/>
    <sheet name="7-تحقيق الاحهادات في الاستثمار" sheetId="23" r:id="rId13"/>
    <sheet name="9-حساب الضياعات في مقطع الحرج" sheetId="7" r:id="rId14"/>
    <sheet name="9-حساب الضياعات في وسط المجاز" sheetId="9" r:id="rId15"/>
    <sheet name="الجداول" sheetId="8" r:id="rId16"/>
    <sheet name="10- التسليح الإضافي عند المماسك" sheetId="12" r:id="rId17"/>
    <sheet name="11- حساب تمدد الكابلات" sheetId="14" r:id="rId18"/>
  </sheets>
  <externalReferences>
    <externalReference r:id="rId19"/>
    <externalReference r:id="rId20"/>
  </externalReferences>
  <definedNames>
    <definedName name="OLE_LINK63" localSheetId="13">'9-حساب الضياعات في مقطع الحرج'!$A$15</definedName>
    <definedName name="_xlnm.Print_Area" localSheetId="0">'0- المعطيات'!$E$19:$Q$48,'0- المعطيات'!$A$1:$V$17</definedName>
    <definedName name="solver_adj" localSheetId="5" hidden="1">'4 - حساب قوة سبق الاجهاد'!$J$23</definedName>
    <definedName name="solver_adj" localSheetId="11" hidden="1">'7-تحقيق الاجهادات في تنفيذ'!$J$15</definedName>
    <definedName name="solver_cvg" localSheetId="5" hidden="1">0.0001</definedName>
    <definedName name="solver_cvg" localSheetId="11" hidden="1">0.0001</definedName>
    <definedName name="solver_drv" localSheetId="5" hidden="1">1</definedName>
    <definedName name="solver_drv" localSheetId="11" hidden="1">1</definedName>
    <definedName name="solver_est" localSheetId="5" hidden="1">1</definedName>
    <definedName name="solver_est" localSheetId="11" hidden="1">1</definedName>
    <definedName name="solver_itr" localSheetId="5" hidden="1">100</definedName>
    <definedName name="solver_itr" localSheetId="11" hidden="1">100</definedName>
    <definedName name="solver_lhs1" localSheetId="5" hidden="1">'4 - حساب قوة سبق الاجهاد'!$J$21</definedName>
    <definedName name="solver_lin" localSheetId="5" hidden="1">2</definedName>
    <definedName name="solver_lin" localSheetId="11" hidden="1">2</definedName>
    <definedName name="solver_neg" localSheetId="5" hidden="1">2</definedName>
    <definedName name="solver_neg" localSheetId="11" hidden="1">2</definedName>
    <definedName name="solver_num" localSheetId="5" hidden="1">0</definedName>
    <definedName name="solver_num" localSheetId="11" hidden="1">0</definedName>
    <definedName name="solver_nwt" localSheetId="5" hidden="1">1</definedName>
    <definedName name="solver_nwt" localSheetId="11" hidden="1">1</definedName>
    <definedName name="solver_opt" localSheetId="5" hidden="1">'4 - حساب قوة سبق الاجهاد'!$H$23</definedName>
    <definedName name="solver_opt" localSheetId="11" hidden="1">'7-تحقيق الاجهادات في تنفيذ'!$H$15</definedName>
    <definedName name="solver_pre" localSheetId="5" hidden="1">0.000001</definedName>
    <definedName name="solver_pre" localSheetId="11" hidden="1">0.000001</definedName>
    <definedName name="solver_rel1" localSheetId="5" hidden="1">1</definedName>
    <definedName name="solver_rhs1" localSheetId="5" hidden="1">5000</definedName>
    <definedName name="solver_scl" localSheetId="5" hidden="1">2</definedName>
    <definedName name="solver_scl" localSheetId="11" hidden="1">2</definedName>
    <definedName name="solver_sho" localSheetId="5" hidden="1">2</definedName>
    <definedName name="solver_sho" localSheetId="11" hidden="1">2</definedName>
    <definedName name="solver_tim" localSheetId="5" hidden="1">100</definedName>
    <definedName name="solver_tim" localSheetId="11" hidden="1">100</definedName>
    <definedName name="solver_tol" localSheetId="5" hidden="1">0.05</definedName>
    <definedName name="solver_tol" localSheetId="11" hidden="1">0.05</definedName>
    <definedName name="solver_typ" localSheetId="5" hidden="1">3</definedName>
    <definedName name="solver_typ" localSheetId="11" hidden="1">3</definedName>
    <definedName name="solver_val" localSheetId="5" hidden="1">0</definedName>
    <definedName name="solver_val" localSheetId="11" hidden="1">0</definedName>
    <definedName name="ش19">'9-حساب الضياعات في مقطع الحرج'!$N$13</definedName>
  </definedNames>
  <calcPr calcId="144525"/>
</workbook>
</file>

<file path=xl/calcChain.xml><?xml version="1.0" encoding="utf-8"?>
<calcChain xmlns="http://schemas.openxmlformats.org/spreadsheetml/2006/main">
  <c r="I24" i="1" l="1"/>
  <c r="L4" i="18" l="1"/>
  <c r="L5" i="18"/>
  <c r="L6" i="18"/>
  <c r="L7" i="18"/>
  <c r="L8" i="18"/>
  <c r="L9" i="18"/>
  <c r="L10" i="18"/>
  <c r="L11" i="18"/>
  <c r="L12" i="18"/>
  <c r="L13" i="18"/>
  <c r="L14" i="18"/>
  <c r="L15" i="18"/>
  <c r="L3" i="18"/>
  <c r="I4" i="19"/>
  <c r="B35" i="20"/>
  <c r="B36" i="20" s="1"/>
  <c r="B37" i="20" s="1"/>
  <c r="B38" i="20" s="1"/>
  <c r="B39" i="20" s="1"/>
  <c r="B40" i="20" s="1"/>
  <c r="B41" i="20" s="1"/>
  <c r="B42" i="20" s="1"/>
  <c r="B43" i="20" s="1"/>
  <c r="B44" i="20" s="1"/>
  <c r="B45" i="20" s="1"/>
  <c r="B46" i="20" s="1"/>
  <c r="B47" i="20" s="1"/>
  <c r="B48" i="20" s="1"/>
  <c r="B49" i="20" s="1"/>
  <c r="B50" i="20" s="1"/>
  <c r="C35" i="20" s="1"/>
  <c r="R40" i="19"/>
  <c r="B9" i="20"/>
  <c r="B10" i="20" s="1"/>
  <c r="B11" i="20" s="1"/>
  <c r="B12" i="20" s="1"/>
  <c r="B13" i="20" s="1"/>
  <c r="B14" i="20" s="1"/>
  <c r="B15" i="20" s="1"/>
  <c r="B16" i="20" s="1"/>
  <c r="B17" i="20" s="1"/>
  <c r="B18" i="20" s="1"/>
  <c r="B19" i="20" s="1"/>
  <c r="B20" i="20" s="1"/>
  <c r="B21" i="20" s="1"/>
  <c r="B22" i="20" s="1"/>
  <c r="B23" i="20" s="1"/>
  <c r="B24" i="20" s="1"/>
  <c r="C9" i="20" s="1"/>
  <c r="E9" i="20" s="1"/>
  <c r="C5" i="20"/>
  <c r="C4" i="20"/>
  <c r="F9" i="20" l="1"/>
  <c r="C36" i="20"/>
  <c r="C10" i="20"/>
  <c r="C37" i="20" l="1"/>
  <c r="E10" i="20"/>
  <c r="F10" i="20"/>
  <c r="C11" i="20"/>
  <c r="C38" i="20" l="1"/>
  <c r="E11" i="20"/>
  <c r="F11" i="20"/>
  <c r="C12" i="20"/>
  <c r="C39" i="20" l="1"/>
  <c r="E12" i="20"/>
  <c r="F12" i="20"/>
  <c r="C13" i="20"/>
  <c r="C40" i="20" l="1"/>
  <c r="E13" i="20"/>
  <c r="F13" i="20"/>
  <c r="C14" i="20"/>
  <c r="C41" i="20" l="1"/>
  <c r="E14" i="20"/>
  <c r="F14" i="20"/>
  <c r="C15" i="20"/>
  <c r="C42" i="20" l="1"/>
  <c r="E15" i="20"/>
  <c r="F15" i="20"/>
  <c r="C16" i="20"/>
  <c r="C43" i="20" l="1"/>
  <c r="F16" i="20"/>
  <c r="E16" i="20"/>
  <c r="C17" i="20"/>
  <c r="C44" i="20" l="1"/>
  <c r="E17" i="20"/>
  <c r="F17" i="20"/>
  <c r="C18" i="20"/>
  <c r="C45" i="20" l="1"/>
  <c r="E18" i="20"/>
  <c r="F18" i="20"/>
  <c r="C19" i="20"/>
  <c r="C46" i="20" l="1"/>
  <c r="E19" i="20"/>
  <c r="F19" i="20"/>
  <c r="C20" i="20"/>
  <c r="C47" i="20" l="1"/>
  <c r="E20" i="20"/>
  <c r="F20" i="20"/>
  <c r="C21" i="20"/>
  <c r="C48" i="20" l="1"/>
  <c r="E21" i="20"/>
  <c r="F21" i="20"/>
  <c r="C22" i="20"/>
  <c r="C49" i="20" l="1"/>
  <c r="E22" i="20"/>
  <c r="F22" i="20"/>
  <c r="C23" i="20"/>
  <c r="C50" i="20" l="1"/>
  <c r="E23" i="20"/>
  <c r="F23" i="20"/>
  <c r="C24" i="20"/>
  <c r="F24" i="20" l="1"/>
  <c r="E24" i="20"/>
  <c r="J25" i="19" l="1"/>
  <c r="J26" i="19"/>
  <c r="J27" i="19"/>
  <c r="J28" i="19"/>
  <c r="J29" i="19"/>
  <c r="J30" i="19"/>
  <c r="J31" i="19"/>
  <c r="J32" i="19"/>
  <c r="J33" i="19"/>
  <c r="J34" i="19"/>
  <c r="J35" i="19"/>
  <c r="J36" i="19"/>
  <c r="J37" i="19"/>
  <c r="J38" i="19"/>
  <c r="J39" i="19"/>
  <c r="J40" i="19"/>
  <c r="J24" i="19"/>
  <c r="B5" i="19"/>
  <c r="B25" i="19" s="1"/>
  <c r="B6" i="19"/>
  <c r="B26" i="19" s="1"/>
  <c r="B7" i="19"/>
  <c r="B27" i="19" s="1"/>
  <c r="B8" i="19"/>
  <c r="B28" i="19" s="1"/>
  <c r="B9" i="19"/>
  <c r="B29" i="19" s="1"/>
  <c r="B10" i="19"/>
  <c r="B30" i="19" s="1"/>
  <c r="B11" i="19"/>
  <c r="B31" i="19" s="1"/>
  <c r="B12" i="19"/>
  <c r="B32" i="19" s="1"/>
  <c r="B13" i="19"/>
  <c r="B33" i="19" s="1"/>
  <c r="B14" i="19"/>
  <c r="B34" i="19" s="1"/>
  <c r="B15" i="19"/>
  <c r="B35" i="19" s="1"/>
  <c r="B16" i="19"/>
  <c r="B36" i="19" s="1"/>
  <c r="B17" i="19"/>
  <c r="B37" i="19" s="1"/>
  <c r="B18" i="19"/>
  <c r="B38" i="19" s="1"/>
  <c r="B19" i="19"/>
  <c r="B39" i="19" s="1"/>
  <c r="B20" i="19"/>
  <c r="B40" i="19" s="1"/>
  <c r="B4" i="19"/>
  <c r="B24" i="19" s="1"/>
  <c r="I5" i="19"/>
  <c r="I6" i="19"/>
  <c r="I7" i="19"/>
  <c r="I8" i="19"/>
  <c r="I9" i="19"/>
  <c r="I10" i="19"/>
  <c r="I11" i="19"/>
  <c r="I12" i="19"/>
  <c r="I13" i="19"/>
  <c r="I14" i="19"/>
  <c r="I15" i="19"/>
  <c r="I16" i="19"/>
  <c r="I17" i="19"/>
  <c r="I18" i="19"/>
  <c r="I19" i="19"/>
  <c r="I20" i="19"/>
  <c r="C4" i="19"/>
  <c r="C24" i="19" s="1"/>
  <c r="H3" i="19"/>
  <c r="H23" i="19" s="1"/>
  <c r="G3" i="19"/>
  <c r="G23" i="19" s="1"/>
  <c r="F3" i="19"/>
  <c r="F23" i="19" s="1"/>
  <c r="E3" i="19"/>
  <c r="E23" i="19" s="1"/>
  <c r="D3" i="19"/>
  <c r="D23" i="19" s="1"/>
  <c r="C3" i="19"/>
  <c r="C23" i="19" s="1"/>
  <c r="B3" i="19"/>
  <c r="B23" i="19" s="1"/>
  <c r="C3" i="18"/>
  <c r="B4" i="18"/>
  <c r="B5" i="18"/>
  <c r="B6" i="18"/>
  <c r="B7" i="18"/>
  <c r="B8" i="18"/>
  <c r="B9" i="18"/>
  <c r="B10" i="18"/>
  <c r="B11" i="18"/>
  <c r="B12" i="18"/>
  <c r="B13" i="18"/>
  <c r="B14" i="18"/>
  <c r="B15" i="18"/>
  <c r="B16" i="18"/>
  <c r="B17" i="18"/>
  <c r="B18" i="18"/>
  <c r="B3" i="18"/>
  <c r="I9" i="17"/>
  <c r="I10" i="17"/>
  <c r="I11" i="17"/>
  <c r="I12" i="17"/>
  <c r="I13" i="17"/>
  <c r="I14" i="17"/>
  <c r="I15" i="17"/>
  <c r="I16" i="17"/>
  <c r="I17" i="17"/>
  <c r="I18" i="17"/>
  <c r="I19" i="17"/>
  <c r="I20" i="17"/>
  <c r="I21" i="17"/>
  <c r="I22" i="17"/>
  <c r="I23" i="17"/>
  <c r="I8" i="17"/>
  <c r="D5" i="17"/>
  <c r="F23" i="17"/>
  <c r="F22" i="17"/>
  <c r="F21" i="17"/>
  <c r="F20" i="17"/>
  <c r="F19" i="17"/>
  <c r="F18" i="17"/>
  <c r="F17" i="17"/>
  <c r="F16" i="17"/>
  <c r="F15" i="17"/>
  <c r="F14" i="17"/>
  <c r="F13" i="17"/>
  <c r="F12" i="17"/>
  <c r="F11" i="17"/>
  <c r="F10" i="17"/>
  <c r="F9" i="17"/>
  <c r="F8" i="17"/>
  <c r="C30" i="14"/>
  <c r="C29" i="14"/>
  <c r="C24" i="14"/>
  <c r="C9" i="14"/>
  <c r="C8" i="1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10" i="4"/>
  <c r="C3" i="14"/>
  <c r="G19" i="2" l="1"/>
  <c r="G4" i="19" l="1"/>
  <c r="G24" i="19" s="1"/>
  <c r="F3" i="18"/>
  <c r="H19" i="2"/>
  <c r="H4" i="19" l="1"/>
  <c r="H24" i="19" s="1"/>
  <c r="H30" i="2"/>
  <c r="H15" i="19" s="1"/>
  <c r="H35" i="19" s="1"/>
  <c r="H21" i="2"/>
  <c r="H6" i="19" s="1"/>
  <c r="H26" i="19" s="1"/>
  <c r="H23" i="2"/>
  <c r="H8" i="19" s="1"/>
  <c r="H28" i="19" s="1"/>
  <c r="H25" i="2"/>
  <c r="H10" i="19" s="1"/>
  <c r="H30" i="19" s="1"/>
  <c r="H27" i="2"/>
  <c r="H12" i="19" s="1"/>
  <c r="H32" i="19" s="1"/>
  <c r="H29" i="2"/>
  <c r="H14" i="19" s="1"/>
  <c r="H34" i="19" s="1"/>
  <c r="H31" i="2"/>
  <c r="H16" i="19" s="1"/>
  <c r="H36" i="19" s="1"/>
  <c r="H33" i="2"/>
  <c r="H18" i="19" s="1"/>
  <c r="H38" i="19" s="1"/>
  <c r="H35" i="2"/>
  <c r="H20" i="19" s="1"/>
  <c r="H40" i="19" s="1"/>
  <c r="H22" i="2"/>
  <c r="H7" i="19" s="1"/>
  <c r="H27" i="19" s="1"/>
  <c r="H24" i="2"/>
  <c r="H9" i="19" s="1"/>
  <c r="H29" i="19" s="1"/>
  <c r="H26" i="2"/>
  <c r="H11" i="19" s="1"/>
  <c r="H31" i="19" s="1"/>
  <c r="H28" i="2"/>
  <c r="H13" i="19" s="1"/>
  <c r="H33" i="19" s="1"/>
  <c r="H32" i="2"/>
  <c r="H17" i="19" s="1"/>
  <c r="H37" i="19" s="1"/>
  <c r="H34" i="2"/>
  <c r="H19" i="19" s="1"/>
  <c r="H39" i="19" s="1"/>
  <c r="H20" i="2"/>
  <c r="H5" i="19" s="1"/>
  <c r="H25" i="19" s="1"/>
  <c r="C19" i="12"/>
  <c r="C17" i="12"/>
  <c r="C18" i="12" s="1"/>
  <c r="C8" i="12"/>
  <c r="C22" i="12" s="1"/>
  <c r="C9" i="12"/>
  <c r="C23" i="12" s="1"/>
  <c r="C11" i="12"/>
  <c r="C25" i="12" s="1"/>
  <c r="D28" i="12" s="1"/>
  <c r="D29" i="12" s="1"/>
  <c r="C3" i="12"/>
  <c r="C4" i="12" s="1"/>
  <c r="H18" i="11"/>
  <c r="H17" i="11"/>
  <c r="H16" i="11"/>
  <c r="H15" i="11"/>
  <c r="H14" i="11"/>
  <c r="H13" i="11"/>
  <c r="H12" i="11"/>
  <c r="H11" i="11"/>
  <c r="H10" i="11"/>
  <c r="H9" i="11"/>
  <c r="H8" i="11"/>
  <c r="H7" i="11"/>
  <c r="H6" i="11"/>
  <c r="H5" i="11"/>
  <c r="D14" i="12" l="1"/>
  <c r="D15" i="12" s="1"/>
  <c r="B44" i="9"/>
  <c r="B43" i="9"/>
  <c r="B42" i="9"/>
  <c r="B24" i="9"/>
  <c r="B44" i="7"/>
  <c r="B43" i="7"/>
  <c r="B42" i="7"/>
  <c r="B24" i="7"/>
  <c r="C33" i="6" l="1"/>
  <c r="C34" i="6" s="1"/>
  <c r="D35" i="4"/>
  <c r="A25" i="6"/>
  <c r="B26" i="6" s="1"/>
  <c r="E25" i="6"/>
  <c r="C11" i="6"/>
  <c r="B12" i="6" s="1"/>
  <c r="A9" i="3"/>
  <c r="B8" i="17" s="1"/>
  <c r="D2" i="4"/>
  <c r="D19" i="2"/>
  <c r="D4" i="19" s="1"/>
  <c r="D24" i="19" s="1"/>
  <c r="E5" i="3"/>
  <c r="E4" i="3"/>
  <c r="B27" i="6" l="1"/>
  <c r="I26" i="19"/>
  <c r="I28" i="19"/>
  <c r="I30" i="19"/>
  <c r="I32" i="19"/>
  <c r="I34" i="19"/>
  <c r="I36" i="19"/>
  <c r="I38" i="19"/>
  <c r="I40" i="19"/>
  <c r="H2" i="17"/>
  <c r="C26" i="14"/>
  <c r="C13" i="14"/>
  <c r="I25" i="19"/>
  <c r="I27" i="19"/>
  <c r="I29" i="19"/>
  <c r="I31" i="19"/>
  <c r="I33" i="19"/>
  <c r="I35" i="19"/>
  <c r="I37" i="19"/>
  <c r="I39" i="19"/>
  <c r="I24" i="19"/>
  <c r="C34" i="14"/>
  <c r="C5" i="14"/>
  <c r="A10" i="3"/>
  <c r="B5" i="3"/>
  <c r="B4" i="3"/>
  <c r="K17" i="1"/>
  <c r="K14" i="1"/>
  <c r="K13" i="1"/>
  <c r="E35" i="2"/>
  <c r="E20" i="19" s="1"/>
  <c r="E40" i="19" s="1"/>
  <c r="E34" i="2"/>
  <c r="E19" i="19" s="1"/>
  <c r="E39" i="19" s="1"/>
  <c r="E33" i="2"/>
  <c r="E18" i="19" s="1"/>
  <c r="E38" i="19" s="1"/>
  <c r="E32" i="2"/>
  <c r="E17" i="19" s="1"/>
  <c r="E37" i="19" s="1"/>
  <c r="E31" i="2"/>
  <c r="E16" i="19" s="1"/>
  <c r="E36" i="19" s="1"/>
  <c r="E30" i="2"/>
  <c r="E15" i="19" s="1"/>
  <c r="E35" i="19" s="1"/>
  <c r="E29" i="2"/>
  <c r="E14" i="19" s="1"/>
  <c r="E34" i="19" s="1"/>
  <c r="E28" i="2"/>
  <c r="E13" i="19" s="1"/>
  <c r="E33" i="19" s="1"/>
  <c r="E27" i="2"/>
  <c r="E12" i="19" s="1"/>
  <c r="E32" i="19" s="1"/>
  <c r="E26" i="2"/>
  <c r="E11" i="19" s="1"/>
  <c r="E31" i="19" s="1"/>
  <c r="E25" i="2"/>
  <c r="E10" i="19" s="1"/>
  <c r="E30" i="19" s="1"/>
  <c r="E24" i="2"/>
  <c r="E9" i="19" s="1"/>
  <c r="E29" i="19" s="1"/>
  <c r="E23" i="2"/>
  <c r="E8" i="19" s="1"/>
  <c r="E28" i="19" s="1"/>
  <c r="E22" i="2"/>
  <c r="E7" i="19" s="1"/>
  <c r="E27" i="19" s="1"/>
  <c r="E21" i="2"/>
  <c r="E6" i="19" s="1"/>
  <c r="E26" i="19" s="1"/>
  <c r="E20" i="2"/>
  <c r="E5" i="19" s="1"/>
  <c r="E25" i="19" s="1"/>
  <c r="E19" i="2"/>
  <c r="E4" i="19" s="1"/>
  <c r="E24" i="19" s="1"/>
  <c r="D20" i="2"/>
  <c r="C20" i="2"/>
  <c r="C8" i="1"/>
  <c r="J8" i="17"/>
  <c r="J9" i="17" s="1"/>
  <c r="J10" i="17" s="1"/>
  <c r="J11" i="17" s="1"/>
  <c r="J12" i="17" s="1"/>
  <c r="J13" i="17" s="1"/>
  <c r="J14" i="17" s="1"/>
  <c r="J15" i="17" s="1"/>
  <c r="B25" i="3" l="1"/>
  <c r="D25" i="3" s="1"/>
  <c r="C25" i="20"/>
  <c r="C6" i="12"/>
  <c r="C20" i="12" s="1"/>
  <c r="C21" i="12" s="1"/>
  <c r="C24" i="12" s="1"/>
  <c r="C26" i="12" s="1"/>
  <c r="B28" i="12" s="1"/>
  <c r="B29" i="12" s="1"/>
  <c r="G34" i="6"/>
  <c r="E25" i="3"/>
  <c r="C21" i="2"/>
  <c r="C4" i="18"/>
  <c r="C5" i="19"/>
  <c r="C25" i="19" s="1"/>
  <c r="B9" i="17"/>
  <c r="A11" i="3"/>
  <c r="D5" i="19"/>
  <c r="J16" i="17"/>
  <c r="D21" i="2"/>
  <c r="I25" i="1"/>
  <c r="I26" i="1"/>
  <c r="B16" i="9"/>
  <c r="B16" i="7"/>
  <c r="D28" i="6"/>
  <c r="C29" i="6" s="1"/>
  <c r="F19" i="2"/>
  <c r="F25" i="20" l="1"/>
  <c r="C51" i="20"/>
  <c r="E25" i="20"/>
  <c r="G35" i="6"/>
  <c r="I19" i="2"/>
  <c r="F4" i="19"/>
  <c r="F24" i="19" s="1"/>
  <c r="C22" i="2"/>
  <c r="C5" i="18"/>
  <c r="C6" i="19"/>
  <c r="C26" i="19" s="1"/>
  <c r="A12" i="3"/>
  <c r="B10" i="17"/>
  <c r="D25" i="19"/>
  <c r="F21" i="2"/>
  <c r="F6" i="19" s="1"/>
  <c r="F26" i="19" s="1"/>
  <c r="D6" i="19"/>
  <c r="J17" i="17"/>
  <c r="D22" i="2"/>
  <c r="B4" i="5"/>
  <c r="B27" i="9"/>
  <c r="B28" i="9" s="1"/>
  <c r="J34" i="6"/>
  <c r="J19" i="2"/>
  <c r="F20" i="2"/>
  <c r="F5" i="19" s="1"/>
  <c r="F25" i="19" s="1"/>
  <c r="J4" i="19" l="1"/>
  <c r="B4" i="21" s="1"/>
  <c r="K24" i="19"/>
  <c r="B4" i="23" s="1"/>
  <c r="C23" i="2"/>
  <c r="C7" i="19"/>
  <c r="C27" i="19" s="1"/>
  <c r="C6" i="18"/>
  <c r="A13" i="3"/>
  <c r="B11" i="17"/>
  <c r="D26" i="19"/>
  <c r="D7" i="19"/>
  <c r="J18" i="17"/>
  <c r="D23" i="2"/>
  <c r="B45" i="9"/>
  <c r="B29" i="9"/>
  <c r="B46" i="9"/>
  <c r="K19" i="2"/>
  <c r="F22" i="2"/>
  <c r="F7" i="19" s="1"/>
  <c r="F27" i="19" s="1"/>
  <c r="C24" i="2" l="1"/>
  <c r="C7" i="18"/>
  <c r="C8" i="19"/>
  <c r="C28" i="19" s="1"/>
  <c r="D27" i="19"/>
  <c r="A14" i="3"/>
  <c r="B12" i="17"/>
  <c r="D8" i="19"/>
  <c r="J19" i="17"/>
  <c r="D24" i="2"/>
  <c r="F44" i="9"/>
  <c r="E4" i="5"/>
  <c r="L19" i="2"/>
  <c r="B7" i="9" s="1"/>
  <c r="F23" i="2"/>
  <c r="F8" i="19" s="1"/>
  <c r="F28" i="19" s="1"/>
  <c r="C25" i="2" l="1"/>
  <c r="C9" i="19"/>
  <c r="C29" i="19" s="1"/>
  <c r="C8" i="18"/>
  <c r="D9" i="19"/>
  <c r="A15" i="3"/>
  <c r="B13" i="17"/>
  <c r="D28" i="19"/>
  <c r="J20" i="17"/>
  <c r="D25" i="2"/>
  <c r="M19" i="2"/>
  <c r="C4" i="5" s="1"/>
  <c r="N19" i="2"/>
  <c r="D4" i="5" s="1"/>
  <c r="F24" i="2"/>
  <c r="F9" i="19" s="1"/>
  <c r="F29" i="19" s="1"/>
  <c r="D29" i="19" l="1"/>
  <c r="A16" i="3"/>
  <c r="B14" i="17"/>
  <c r="C26" i="2"/>
  <c r="C10" i="19"/>
  <c r="C30" i="19" s="1"/>
  <c r="C9" i="18"/>
  <c r="D10" i="19"/>
  <c r="J21" i="17"/>
  <c r="D26" i="2"/>
  <c r="F25" i="2"/>
  <c r="F10" i="19" s="1"/>
  <c r="F30" i="19" s="1"/>
  <c r="B15" i="17" l="1"/>
  <c r="A17" i="3"/>
  <c r="D11" i="19"/>
  <c r="D30" i="19"/>
  <c r="C27" i="2"/>
  <c r="C11" i="19"/>
  <c r="C31" i="19" s="1"/>
  <c r="C10" i="18"/>
  <c r="J22" i="17"/>
  <c r="D27" i="2"/>
  <c r="F26" i="2"/>
  <c r="F11" i="19" s="1"/>
  <c r="F31" i="19" s="1"/>
  <c r="C28" i="2" l="1"/>
  <c r="C11" i="18"/>
  <c r="C12" i="19"/>
  <c r="C32" i="19" s="1"/>
  <c r="A18" i="3"/>
  <c r="B16" i="17"/>
  <c r="D31" i="19"/>
  <c r="D12" i="19"/>
  <c r="J23" i="17"/>
  <c r="D28" i="2"/>
  <c r="F27" i="2"/>
  <c r="F12" i="19" s="1"/>
  <c r="F32" i="19" s="1"/>
  <c r="C29" i="2" l="1"/>
  <c r="C13" i="19"/>
  <c r="C33" i="19" s="1"/>
  <c r="C12" i="18"/>
  <c r="A19" i="3"/>
  <c r="B17" i="17"/>
  <c r="D13" i="19"/>
  <c r="D32" i="19"/>
  <c r="D29" i="2"/>
  <c r="F28" i="2"/>
  <c r="F13" i="19" s="1"/>
  <c r="F33" i="19" s="1"/>
  <c r="C30" i="2" l="1"/>
  <c r="C13" i="18"/>
  <c r="C14" i="19"/>
  <c r="C34" i="19" s="1"/>
  <c r="D14" i="19"/>
  <c r="D33" i="19"/>
  <c r="A20" i="3"/>
  <c r="B18" i="17"/>
  <c r="D30" i="2"/>
  <c r="F29" i="2"/>
  <c r="F14" i="19" s="1"/>
  <c r="F34" i="19" s="1"/>
  <c r="C31" i="2" l="1"/>
  <c r="C14" i="18"/>
  <c r="C15" i="19"/>
  <c r="C35" i="19" s="1"/>
  <c r="A21" i="3"/>
  <c r="B19" i="17"/>
  <c r="D34" i="19"/>
  <c r="D15" i="19"/>
  <c r="D31" i="2"/>
  <c r="F30" i="2"/>
  <c r="F15" i="19" s="1"/>
  <c r="F35" i="19" s="1"/>
  <c r="C32" i="2" l="1"/>
  <c r="C15" i="18"/>
  <c r="C16" i="19"/>
  <c r="C36" i="19" s="1"/>
  <c r="D16" i="19"/>
  <c r="A22" i="3"/>
  <c r="B20" i="17"/>
  <c r="D35" i="19"/>
  <c r="D32" i="2"/>
  <c r="F31" i="2"/>
  <c r="F16" i="19" s="1"/>
  <c r="F36" i="19" s="1"/>
  <c r="D17" i="19" l="1"/>
  <c r="A23" i="3"/>
  <c r="B21" i="17"/>
  <c r="C33" i="2"/>
  <c r="C16" i="18"/>
  <c r="C17" i="19"/>
  <c r="C37" i="19" s="1"/>
  <c r="D36" i="19"/>
  <c r="D33" i="2"/>
  <c r="F32" i="2"/>
  <c r="F17" i="19" s="1"/>
  <c r="F37" i="19" s="1"/>
  <c r="D18" i="19" l="1"/>
  <c r="A24" i="3"/>
  <c r="B22" i="17"/>
  <c r="D37" i="19"/>
  <c r="C34" i="2"/>
  <c r="C17" i="18"/>
  <c r="C18" i="19"/>
  <c r="C38" i="19" s="1"/>
  <c r="D34" i="2"/>
  <c r="F33" i="2"/>
  <c r="F18" i="19" s="1"/>
  <c r="F38" i="19" s="1"/>
  <c r="D19" i="19" l="1"/>
  <c r="D38" i="19"/>
  <c r="C19" i="19"/>
  <c r="C39" i="19" s="1"/>
  <c r="C18" i="18"/>
  <c r="B9" i="3"/>
  <c r="B23" i="17"/>
  <c r="D7" i="2"/>
  <c r="C5" i="12"/>
  <c r="C7" i="12" s="1"/>
  <c r="C10" i="12" s="1"/>
  <c r="C12" i="12" s="1"/>
  <c r="B14" i="12" s="1"/>
  <c r="B15" i="12" s="1"/>
  <c r="F34" i="2"/>
  <c r="F19" i="19" s="1"/>
  <c r="F39" i="19" s="1"/>
  <c r="B10" i="3" l="1"/>
  <c r="D9" i="3"/>
  <c r="Q19" i="2" s="1"/>
  <c r="E9" i="3"/>
  <c r="R19" i="2" s="1"/>
  <c r="D39" i="19"/>
  <c r="C35" i="2"/>
  <c r="D35" i="2" l="1"/>
  <c r="D20" i="19" s="1"/>
  <c r="C20" i="19"/>
  <c r="C40" i="19" s="1"/>
  <c r="B11" i="3"/>
  <c r="D10" i="3"/>
  <c r="Q20" i="2" s="1"/>
  <c r="E10" i="3"/>
  <c r="R20" i="2" s="1"/>
  <c r="B12" i="3" l="1"/>
  <c r="D11" i="3"/>
  <c r="Q21" i="2" s="1"/>
  <c r="E11" i="3"/>
  <c r="R21" i="2" s="1"/>
  <c r="F35" i="2"/>
  <c r="F20" i="19" s="1"/>
  <c r="F40" i="19" s="1"/>
  <c r="G28" i="2"/>
  <c r="G21" i="2"/>
  <c r="D40" i="19"/>
  <c r="G29" i="2"/>
  <c r="G30" i="2"/>
  <c r="G22" i="2"/>
  <c r="G35" i="2"/>
  <c r="G20" i="19" s="1"/>
  <c r="G40" i="19" s="1"/>
  <c r="G25" i="2"/>
  <c r="G27" i="2"/>
  <c r="G20" i="2"/>
  <c r="G31" i="2"/>
  <c r="G23" i="2"/>
  <c r="G32" i="2"/>
  <c r="G24" i="2"/>
  <c r="G33" i="2"/>
  <c r="G34" i="2"/>
  <c r="G26" i="2"/>
  <c r="I35" i="2" l="1"/>
  <c r="K40" i="19" s="1"/>
  <c r="M40" i="19" s="1"/>
  <c r="Q40" i="19" s="1"/>
  <c r="F15" i="18"/>
  <c r="G16" i="19"/>
  <c r="G17" i="19"/>
  <c r="F16" i="18"/>
  <c r="G15" i="19"/>
  <c r="F14" i="18"/>
  <c r="B13" i="3"/>
  <c r="D12" i="3"/>
  <c r="Q22" i="2" s="1"/>
  <c r="E12" i="3"/>
  <c r="R22" i="2" s="1"/>
  <c r="F7" i="18"/>
  <c r="G8" i="19"/>
  <c r="F8" i="18"/>
  <c r="G9" i="19"/>
  <c r="F6" i="18"/>
  <c r="G7" i="19"/>
  <c r="G10" i="19"/>
  <c r="F9" i="18"/>
  <c r="G6" i="19"/>
  <c r="F5" i="18"/>
  <c r="G14" i="19"/>
  <c r="F13" i="18"/>
  <c r="G18" i="19"/>
  <c r="F17" i="18"/>
  <c r="F12" i="18"/>
  <c r="G13" i="19"/>
  <c r="G11" i="19"/>
  <c r="F10" i="18"/>
  <c r="F11" i="18"/>
  <c r="G12" i="19"/>
  <c r="G19" i="19"/>
  <c r="F18" i="18"/>
  <c r="G5" i="19"/>
  <c r="F4" i="18"/>
  <c r="I34" i="2"/>
  <c r="J34" i="2" s="1"/>
  <c r="J35" i="2" l="1"/>
  <c r="K35" i="2" s="1"/>
  <c r="L35" i="2" s="1"/>
  <c r="N35" i="2" s="1"/>
  <c r="J20" i="19"/>
  <c r="L20" i="19" s="1"/>
  <c r="K20" i="19" s="1"/>
  <c r="M20" i="19" s="1"/>
  <c r="G26" i="19"/>
  <c r="G37" i="19"/>
  <c r="L40" i="19"/>
  <c r="N40" i="19" s="1"/>
  <c r="G30" i="19"/>
  <c r="G38" i="19"/>
  <c r="G28" i="19"/>
  <c r="G33" i="19"/>
  <c r="G35" i="19"/>
  <c r="G25" i="19"/>
  <c r="G31" i="19"/>
  <c r="G29" i="19"/>
  <c r="G32" i="19"/>
  <c r="G36" i="19"/>
  <c r="B14" i="3"/>
  <c r="E13" i="3"/>
  <c r="R23" i="2" s="1"/>
  <c r="D13" i="3"/>
  <c r="Q23" i="2" s="1"/>
  <c r="G39" i="19"/>
  <c r="B19" i="5"/>
  <c r="J19" i="19"/>
  <c r="B19" i="21" s="1"/>
  <c r="K39" i="19"/>
  <c r="B19" i="23" s="1"/>
  <c r="G34" i="19"/>
  <c r="G27" i="19"/>
  <c r="K34" i="2"/>
  <c r="I30" i="2"/>
  <c r="I24" i="2"/>
  <c r="I33" i="2"/>
  <c r="I31" i="2"/>
  <c r="I29" i="2"/>
  <c r="I25" i="2"/>
  <c r="I27" i="2"/>
  <c r="I28" i="2"/>
  <c r="I23" i="2"/>
  <c r="I32" i="2"/>
  <c r="I26" i="2"/>
  <c r="P20" i="19" l="1"/>
  <c r="M35" i="2"/>
  <c r="B12" i="5"/>
  <c r="J12" i="19"/>
  <c r="B12" i="21" s="1"/>
  <c r="K32" i="19"/>
  <c r="B12" i="23" s="1"/>
  <c r="B15" i="3"/>
  <c r="D14" i="3"/>
  <c r="Q24" i="2" s="1"/>
  <c r="E14" i="3"/>
  <c r="R24" i="2" s="1"/>
  <c r="J28" i="2"/>
  <c r="J13" i="19"/>
  <c r="B13" i="21" s="1"/>
  <c r="K33" i="19"/>
  <c r="B13" i="23" s="1"/>
  <c r="J10" i="19"/>
  <c r="B10" i="21" s="1"/>
  <c r="K30" i="19"/>
  <c r="B10" i="23" s="1"/>
  <c r="N20" i="19"/>
  <c r="O20" i="19"/>
  <c r="B15" i="5"/>
  <c r="J15" i="19"/>
  <c r="B15" i="21" s="1"/>
  <c r="K35" i="19"/>
  <c r="B15" i="23" s="1"/>
  <c r="O40" i="19"/>
  <c r="P40" i="19"/>
  <c r="J33" i="2"/>
  <c r="J18" i="19"/>
  <c r="B18" i="21" s="1"/>
  <c r="K38" i="19"/>
  <c r="B18" i="23" s="1"/>
  <c r="J31" i="2"/>
  <c r="K31" i="2" s="1"/>
  <c r="E16" i="5" s="1"/>
  <c r="K36" i="19"/>
  <c r="B16" i="23" s="1"/>
  <c r="J16" i="19"/>
  <c r="B16" i="21" s="1"/>
  <c r="K28" i="19"/>
  <c r="B8" i="23" s="1"/>
  <c r="J8" i="19"/>
  <c r="B8" i="21" s="1"/>
  <c r="J32" i="2"/>
  <c r="K32" i="2" s="1"/>
  <c r="E17" i="5" s="1"/>
  <c r="J17" i="19"/>
  <c r="B17" i="21" s="1"/>
  <c r="K37" i="19"/>
  <c r="B17" i="23" s="1"/>
  <c r="B9" i="5"/>
  <c r="J9" i="19"/>
  <c r="B9" i="21" s="1"/>
  <c r="K29" i="19"/>
  <c r="B9" i="23" s="1"/>
  <c r="J26" i="2"/>
  <c r="J11" i="19"/>
  <c r="B11" i="21" s="1"/>
  <c r="K31" i="19"/>
  <c r="B11" i="23" s="1"/>
  <c r="B14" i="5"/>
  <c r="J14" i="19"/>
  <c r="B14" i="21" s="1"/>
  <c r="K34" i="19"/>
  <c r="B14" i="23" s="1"/>
  <c r="B10" i="5"/>
  <c r="C11" i="14"/>
  <c r="C32" i="14"/>
  <c r="L34" i="2"/>
  <c r="B2" i="4"/>
  <c r="E19" i="5"/>
  <c r="B17" i="5"/>
  <c r="B16" i="5"/>
  <c r="B13" i="5"/>
  <c r="J27" i="2"/>
  <c r="J29" i="2"/>
  <c r="J30" i="2"/>
  <c r="B11" i="5"/>
  <c r="B18" i="5"/>
  <c r="J24" i="2"/>
  <c r="J23" i="2"/>
  <c r="B8" i="5"/>
  <c r="J25" i="2"/>
  <c r="K28" i="2" l="1"/>
  <c r="E13" i="5" s="1"/>
  <c r="K33" i="2"/>
  <c r="E18" i="5" s="1"/>
  <c r="B16" i="3"/>
  <c r="E15" i="3"/>
  <c r="R25" i="2" s="1"/>
  <c r="D15" i="3"/>
  <c r="Q25" i="2" s="1"/>
  <c r="K26" i="2"/>
  <c r="E11" i="5" s="1"/>
  <c r="N34" i="2"/>
  <c r="D19" i="5" s="1"/>
  <c r="M34" i="2"/>
  <c r="C19" i="5" s="1"/>
  <c r="B4" i="4"/>
  <c r="B11" i="9"/>
  <c r="K29" i="2"/>
  <c r="E14" i="5" s="1"/>
  <c r="L32" i="2"/>
  <c r="M32" i="2" s="1"/>
  <c r="C17" i="5" s="1"/>
  <c r="K30" i="2"/>
  <c r="E15" i="5" s="1"/>
  <c r="K27" i="2"/>
  <c r="E12" i="5" s="1"/>
  <c r="K24" i="2"/>
  <c r="E9" i="5" s="1"/>
  <c r="L31" i="2"/>
  <c r="K25" i="2"/>
  <c r="K23" i="2"/>
  <c r="E8" i="5" s="1"/>
  <c r="L28" i="2" l="1"/>
  <c r="N28" i="2" s="1"/>
  <c r="D13" i="5" s="1"/>
  <c r="B17" i="3"/>
  <c r="D16" i="3"/>
  <c r="Q26" i="2" s="1"/>
  <c r="E16" i="3"/>
  <c r="R26" i="2" s="1"/>
  <c r="L26" i="2"/>
  <c r="M26" i="2" s="1"/>
  <c r="C11" i="5" s="1"/>
  <c r="L33" i="2"/>
  <c r="N33" i="2" s="1"/>
  <c r="D18" i="5" s="1"/>
  <c r="E10" i="5"/>
  <c r="L29" i="2"/>
  <c r="M29" i="2" s="1"/>
  <c r="C14" i="5" s="1"/>
  <c r="C18" i="4"/>
  <c r="C11" i="4"/>
  <c r="C14" i="4"/>
  <c r="C25" i="4"/>
  <c r="C21" i="4"/>
  <c r="C15" i="4"/>
  <c r="C17" i="4"/>
  <c r="C22" i="4"/>
  <c r="C20" i="4"/>
  <c r="C13" i="4"/>
  <c r="C19" i="4"/>
  <c r="C24" i="4"/>
  <c r="C12" i="4"/>
  <c r="C23" i="4"/>
  <c r="C10" i="4"/>
  <c r="C16" i="4"/>
  <c r="B11" i="7"/>
  <c r="B12" i="9"/>
  <c r="B18" i="9" s="1"/>
  <c r="N32" i="2"/>
  <c r="D17" i="5" s="1"/>
  <c r="L30" i="2"/>
  <c r="L23" i="2"/>
  <c r="M23" i="2" s="1"/>
  <c r="C8" i="5" s="1"/>
  <c r="L27" i="2"/>
  <c r="N31" i="2"/>
  <c r="D16" i="5" s="1"/>
  <c r="M31" i="2"/>
  <c r="C16" i="5" s="1"/>
  <c r="L25" i="2"/>
  <c r="L24" i="2"/>
  <c r="F10" i="23" l="1"/>
  <c r="F10" i="21"/>
  <c r="R30" i="19"/>
  <c r="F17" i="23"/>
  <c r="F17" i="21"/>
  <c r="R37" i="19"/>
  <c r="F18" i="21"/>
  <c r="F18" i="23"/>
  <c r="R38" i="19"/>
  <c r="F7" i="21"/>
  <c r="R27" i="19"/>
  <c r="F7" i="23"/>
  <c r="F16" i="23"/>
  <c r="F16" i="21"/>
  <c r="R36" i="19"/>
  <c r="F9" i="23"/>
  <c r="F9" i="21"/>
  <c r="R29" i="19"/>
  <c r="F19" i="23"/>
  <c r="F19" i="21"/>
  <c r="R39" i="19"/>
  <c r="F5" i="23"/>
  <c r="F5" i="21"/>
  <c r="R25" i="19"/>
  <c r="F4" i="21"/>
  <c r="F4" i="23"/>
  <c r="R24" i="19"/>
  <c r="F6" i="23"/>
  <c r="F6" i="21"/>
  <c r="R26" i="19"/>
  <c r="F13" i="23"/>
  <c r="F13" i="21"/>
  <c r="R33" i="19"/>
  <c r="F14" i="23"/>
  <c r="F14" i="21"/>
  <c r="R34" i="19"/>
  <c r="F11" i="21"/>
  <c r="R31" i="19"/>
  <c r="F11" i="23"/>
  <c r="F15" i="21"/>
  <c r="F15" i="23"/>
  <c r="R35" i="19"/>
  <c r="F8" i="23"/>
  <c r="F8" i="21"/>
  <c r="R28" i="19"/>
  <c r="F12" i="23"/>
  <c r="F12" i="21"/>
  <c r="R32" i="19"/>
  <c r="M28" i="2"/>
  <c r="C13" i="5" s="1"/>
  <c r="N14" i="17"/>
  <c r="E9" i="18"/>
  <c r="H9" i="18" s="1"/>
  <c r="I9" i="18" s="1"/>
  <c r="L10" i="19"/>
  <c r="M30" i="19"/>
  <c r="E10" i="23" s="1"/>
  <c r="G10" i="23" s="1"/>
  <c r="E11" i="18"/>
  <c r="H11" i="18" s="1"/>
  <c r="I11" i="18" s="1"/>
  <c r="N16" i="17"/>
  <c r="L12" i="19"/>
  <c r="M32" i="19"/>
  <c r="E12" i="23" s="1"/>
  <c r="G12" i="23" s="1"/>
  <c r="N11" i="17"/>
  <c r="E6" i="18"/>
  <c r="H6" i="18" s="1"/>
  <c r="I6" i="18" s="1"/>
  <c r="E4" i="18"/>
  <c r="H4" i="18" s="1"/>
  <c r="I4" i="18" s="1"/>
  <c r="N9" i="17"/>
  <c r="E15" i="18"/>
  <c r="N20" i="17"/>
  <c r="L16" i="19"/>
  <c r="M36" i="19"/>
  <c r="E16" i="23" s="1"/>
  <c r="G16" i="23" s="1"/>
  <c r="N17" i="17"/>
  <c r="E12" i="18"/>
  <c r="L13" i="19"/>
  <c r="M33" i="19"/>
  <c r="E13" i="23" s="1"/>
  <c r="G13" i="23" s="1"/>
  <c r="R11" i="4"/>
  <c r="S11" i="4" s="1"/>
  <c r="N10" i="17"/>
  <c r="E5" i="18"/>
  <c r="H5" i="18" s="1"/>
  <c r="I5" i="18" s="1"/>
  <c r="R20" i="4"/>
  <c r="S20" i="4" s="1"/>
  <c r="E14" i="18"/>
  <c r="N19" i="17"/>
  <c r="L15" i="19"/>
  <c r="M35" i="19"/>
  <c r="E15" i="23" s="1"/>
  <c r="G15" i="23" s="1"/>
  <c r="N26" i="2"/>
  <c r="D11" i="5" s="1"/>
  <c r="M33" i="2"/>
  <c r="C18" i="5" s="1"/>
  <c r="R22" i="4"/>
  <c r="S22" i="4" s="1"/>
  <c r="E16" i="18"/>
  <c r="N21" i="17"/>
  <c r="L17" i="19"/>
  <c r="M37" i="19"/>
  <c r="E17" i="23" s="1"/>
  <c r="G17" i="23" s="1"/>
  <c r="R14" i="4"/>
  <c r="S14" i="4" s="1"/>
  <c r="N13" i="17"/>
  <c r="E8" i="18"/>
  <c r="H8" i="18" s="1"/>
  <c r="I8" i="18" s="1"/>
  <c r="L9" i="19"/>
  <c r="M29" i="19"/>
  <c r="E9" i="23" s="1"/>
  <c r="G9" i="23" s="1"/>
  <c r="C31" i="14"/>
  <c r="B18" i="3"/>
  <c r="E17" i="3"/>
  <c r="R27" i="2" s="1"/>
  <c r="D17" i="3"/>
  <c r="Q27" i="2" s="1"/>
  <c r="R19" i="4"/>
  <c r="S19" i="4" s="1"/>
  <c r="N18" i="17"/>
  <c r="E13" i="18"/>
  <c r="L14" i="19"/>
  <c r="M34" i="19"/>
  <c r="E14" i="23" s="1"/>
  <c r="G14" i="23" s="1"/>
  <c r="N12" i="17"/>
  <c r="E7" i="18"/>
  <c r="H7" i="18" s="1"/>
  <c r="I7" i="18" s="1"/>
  <c r="L8" i="19"/>
  <c r="M28" i="19"/>
  <c r="E8" i="23" s="1"/>
  <c r="G8" i="23" s="1"/>
  <c r="N22" i="17"/>
  <c r="E17" i="18"/>
  <c r="L18" i="19"/>
  <c r="M38" i="19"/>
  <c r="E18" i="23" s="1"/>
  <c r="G18" i="23" s="1"/>
  <c r="E18" i="18"/>
  <c r="N23" i="17"/>
  <c r="L19" i="19"/>
  <c r="M39" i="19"/>
  <c r="E19" i="23" s="1"/>
  <c r="G19" i="23" s="1"/>
  <c r="N8" i="17"/>
  <c r="E3" i="18"/>
  <c r="L4" i="19"/>
  <c r="E4" i="21" s="1"/>
  <c r="G4" i="21" s="1"/>
  <c r="M24" i="19"/>
  <c r="E4" i="23" s="1"/>
  <c r="G4" i="23" s="1"/>
  <c r="R16" i="4"/>
  <c r="S16" i="4" s="1"/>
  <c r="E10" i="18"/>
  <c r="H10" i="18" s="1"/>
  <c r="I10" i="18" s="1"/>
  <c r="N15" i="17"/>
  <c r="L11" i="19"/>
  <c r="M31" i="19"/>
  <c r="E11" i="23" s="1"/>
  <c r="G11" i="23" s="1"/>
  <c r="C10" i="14"/>
  <c r="R15" i="4"/>
  <c r="S15" i="4" s="1"/>
  <c r="R17" i="4"/>
  <c r="S17" i="4" s="1"/>
  <c r="R12" i="4"/>
  <c r="S12" i="4" s="1"/>
  <c r="R10" i="4"/>
  <c r="S10" i="4" s="1"/>
  <c r="N29" i="2"/>
  <c r="D14" i="5" s="1"/>
  <c r="R18" i="4"/>
  <c r="S18" i="4" s="1"/>
  <c r="R13" i="4"/>
  <c r="S13" i="4" s="1"/>
  <c r="C12" i="14"/>
  <c r="C33" i="14"/>
  <c r="R21" i="4"/>
  <c r="S21" i="4" s="1"/>
  <c r="R23" i="4"/>
  <c r="S23" i="4" s="1"/>
  <c r="R24" i="4"/>
  <c r="S24" i="4" s="1"/>
  <c r="O29" i="2"/>
  <c r="F14" i="5"/>
  <c r="G14" i="5" s="1"/>
  <c r="O21" i="2"/>
  <c r="F6" i="5"/>
  <c r="F15" i="5"/>
  <c r="G15" i="5" s="1"/>
  <c r="O30" i="2"/>
  <c r="O22" i="2"/>
  <c r="F7" i="5"/>
  <c r="O23" i="2"/>
  <c r="F8" i="5"/>
  <c r="G8" i="5" s="1"/>
  <c r="O33" i="2"/>
  <c r="F18" i="5"/>
  <c r="G18" i="5" s="1"/>
  <c r="O34" i="2"/>
  <c r="F19" i="5"/>
  <c r="G19" i="5" s="1"/>
  <c r="O32" i="2"/>
  <c r="F17" i="5"/>
  <c r="G17" i="5" s="1"/>
  <c r="F9" i="5"/>
  <c r="G9" i="5" s="1"/>
  <c r="O24" i="2"/>
  <c r="B37" i="9"/>
  <c r="B19" i="9"/>
  <c r="C27" i="14" s="1"/>
  <c r="C28" i="14" s="1"/>
  <c r="D19" i="9"/>
  <c r="B38" i="9"/>
  <c r="O28" i="2"/>
  <c r="F13" i="5"/>
  <c r="G13" i="5" s="1"/>
  <c r="F4" i="5"/>
  <c r="G4" i="5" s="1"/>
  <c r="O19" i="2"/>
  <c r="O26" i="2"/>
  <c r="F11" i="5"/>
  <c r="G11" i="5" s="1"/>
  <c r="O27" i="2"/>
  <c r="F12" i="5"/>
  <c r="G12" i="5" s="1"/>
  <c r="F5" i="5"/>
  <c r="O20" i="2"/>
  <c r="F10" i="5"/>
  <c r="G10" i="5" s="1"/>
  <c r="O25" i="2"/>
  <c r="O31" i="2"/>
  <c r="F16" i="5"/>
  <c r="G16" i="5" s="1"/>
  <c r="N23" i="2"/>
  <c r="D8" i="5" s="1"/>
  <c r="M27" i="2"/>
  <c r="C12" i="5" s="1"/>
  <c r="N27" i="2"/>
  <c r="D12" i="5" s="1"/>
  <c r="M30" i="2"/>
  <c r="C15" i="5" s="1"/>
  <c r="N30" i="2"/>
  <c r="D15" i="5" s="1"/>
  <c r="M25" i="2"/>
  <c r="C10" i="5" s="1"/>
  <c r="N25" i="2"/>
  <c r="D10" i="5" s="1"/>
  <c r="M24" i="2"/>
  <c r="C9" i="5" s="1"/>
  <c r="N24" i="2"/>
  <c r="D9" i="5" s="1"/>
  <c r="I22" i="2"/>
  <c r="I21" i="2"/>
  <c r="I20" i="2"/>
  <c r="F3" i="20" s="1"/>
  <c r="D9" i="20" l="1"/>
  <c r="S24" i="19" s="1"/>
  <c r="D11" i="20"/>
  <c r="S26" i="19" s="1"/>
  <c r="H3" i="18"/>
  <c r="I3" i="18" s="1"/>
  <c r="E14" i="21"/>
  <c r="G14" i="21" s="1"/>
  <c r="D14" i="21"/>
  <c r="E17" i="21"/>
  <c r="G17" i="21" s="1"/>
  <c r="D17" i="21"/>
  <c r="E15" i="21"/>
  <c r="G15" i="21" s="1"/>
  <c r="D15" i="21"/>
  <c r="E10" i="21"/>
  <c r="G10" i="21" s="1"/>
  <c r="D10" i="21"/>
  <c r="E11" i="21"/>
  <c r="G11" i="21" s="1"/>
  <c r="D11" i="21"/>
  <c r="E18" i="21"/>
  <c r="G18" i="21" s="1"/>
  <c r="D18" i="21"/>
  <c r="E19" i="21"/>
  <c r="G19" i="21" s="1"/>
  <c r="D19" i="21"/>
  <c r="D13" i="21"/>
  <c r="E13" i="21"/>
  <c r="G13" i="21" s="1"/>
  <c r="D8" i="21"/>
  <c r="E8" i="21"/>
  <c r="G8" i="21" s="1"/>
  <c r="E9" i="21"/>
  <c r="G9" i="21" s="1"/>
  <c r="D9" i="21"/>
  <c r="D16" i="21"/>
  <c r="E16" i="21"/>
  <c r="G16" i="21" s="1"/>
  <c r="E12" i="21"/>
  <c r="G12" i="21" s="1"/>
  <c r="D12" i="21"/>
  <c r="S25" i="4"/>
  <c r="C4" i="14" s="1"/>
  <c r="Q37" i="19"/>
  <c r="L37" i="19"/>
  <c r="N37" i="19" s="1"/>
  <c r="P19" i="19"/>
  <c r="K19" i="19"/>
  <c r="M19" i="19" s="1"/>
  <c r="P8" i="19"/>
  <c r="K8" i="19"/>
  <c r="M8" i="19" s="1"/>
  <c r="Q35" i="19"/>
  <c r="L35" i="19"/>
  <c r="N35" i="19" s="1"/>
  <c r="P11" i="19"/>
  <c r="K11" i="19"/>
  <c r="M11" i="19" s="1"/>
  <c r="Q39" i="19"/>
  <c r="L39" i="19"/>
  <c r="N39" i="19" s="1"/>
  <c r="Q28" i="19"/>
  <c r="L28" i="19"/>
  <c r="N28" i="19" s="1"/>
  <c r="K16" i="19"/>
  <c r="M16" i="19" s="1"/>
  <c r="P16" i="19"/>
  <c r="P10" i="19"/>
  <c r="K10" i="19"/>
  <c r="M10" i="19" s="1"/>
  <c r="Q30" i="19"/>
  <c r="L30" i="19"/>
  <c r="N30" i="19" s="1"/>
  <c r="P4" i="19"/>
  <c r="K4" i="19"/>
  <c r="M4" i="19" s="1"/>
  <c r="P18" i="19"/>
  <c r="K18" i="19"/>
  <c r="M18" i="19" s="1"/>
  <c r="P14" i="19"/>
  <c r="K14" i="19"/>
  <c r="M14" i="19" s="1"/>
  <c r="Q29" i="19"/>
  <c r="L29" i="19"/>
  <c r="N29" i="19" s="1"/>
  <c r="B5" i="5"/>
  <c r="K25" i="19"/>
  <c r="J5" i="19"/>
  <c r="Q31" i="19"/>
  <c r="L31" i="19"/>
  <c r="N31" i="19" s="1"/>
  <c r="P9" i="19"/>
  <c r="K9" i="19"/>
  <c r="M9" i="19" s="1"/>
  <c r="Q24" i="19"/>
  <c r="L24" i="19"/>
  <c r="N24" i="19" s="1"/>
  <c r="Q38" i="19"/>
  <c r="L38" i="19"/>
  <c r="N38" i="19" s="1"/>
  <c r="Q34" i="19"/>
  <c r="L34" i="19"/>
  <c r="N34" i="19" s="1"/>
  <c r="P13" i="19"/>
  <c r="K13" i="19"/>
  <c r="M13" i="19" s="1"/>
  <c r="P12" i="19"/>
  <c r="K12" i="19"/>
  <c r="M12" i="19" s="1"/>
  <c r="P15" i="19"/>
  <c r="K15" i="19"/>
  <c r="M15" i="19" s="1"/>
  <c r="Q36" i="19"/>
  <c r="L36" i="19"/>
  <c r="N36" i="19" s="1"/>
  <c r="B7" i="5"/>
  <c r="K27" i="19"/>
  <c r="J7" i="19"/>
  <c r="B6" i="5"/>
  <c r="K26" i="19"/>
  <c r="J6" i="19"/>
  <c r="B19" i="3"/>
  <c r="H13" i="18" s="1"/>
  <c r="I13" i="18" s="1"/>
  <c r="H12" i="18"/>
  <c r="I12" i="18" s="1"/>
  <c r="D18" i="3"/>
  <c r="Q28" i="2" s="1"/>
  <c r="E18" i="3"/>
  <c r="R28" i="2" s="1"/>
  <c r="P17" i="19"/>
  <c r="K17" i="19"/>
  <c r="M17" i="19" s="1"/>
  <c r="Q33" i="19"/>
  <c r="L33" i="19"/>
  <c r="N33" i="19" s="1"/>
  <c r="Q32" i="19"/>
  <c r="L32" i="19"/>
  <c r="N32" i="19" s="1"/>
  <c r="C35" i="14"/>
  <c r="C38" i="14" s="1"/>
  <c r="J21" i="2"/>
  <c r="J22" i="2"/>
  <c r="E3" i="3"/>
  <c r="J20" i="2"/>
  <c r="M26" i="19" l="1"/>
  <c r="E6" i="23" s="1"/>
  <c r="G6" i="23" s="1"/>
  <c r="B6" i="23"/>
  <c r="M25" i="19"/>
  <c r="E5" i="23" s="1"/>
  <c r="G5" i="23" s="1"/>
  <c r="B5" i="23"/>
  <c r="B7" i="23"/>
  <c r="M27" i="19"/>
  <c r="E7" i="23" s="1"/>
  <c r="G7" i="23" s="1"/>
  <c r="L7" i="19"/>
  <c r="K7" i="19" s="1"/>
  <c r="M7" i="19" s="1"/>
  <c r="B7" i="21"/>
  <c r="L6" i="19"/>
  <c r="B6" i="21"/>
  <c r="L5" i="19"/>
  <c r="B5" i="21"/>
  <c r="F32" i="20"/>
  <c r="C25" i="14"/>
  <c r="C37" i="14" s="1"/>
  <c r="O18" i="19"/>
  <c r="N18" i="19"/>
  <c r="C18" i="21" s="1"/>
  <c r="Q26" i="19"/>
  <c r="L26" i="19"/>
  <c r="N26" i="19" s="1"/>
  <c r="P38" i="19"/>
  <c r="D18" i="23" s="1"/>
  <c r="O38" i="19"/>
  <c r="C18" i="23" s="1"/>
  <c r="N10" i="19"/>
  <c r="C10" i="21" s="1"/>
  <c r="O10" i="19"/>
  <c r="N11" i="19"/>
  <c r="C11" i="21" s="1"/>
  <c r="O11" i="19"/>
  <c r="O37" i="19"/>
  <c r="C17" i="23" s="1"/>
  <c r="P37" i="19"/>
  <c r="D17" i="23" s="1"/>
  <c r="P33" i="19"/>
  <c r="D13" i="23" s="1"/>
  <c r="O33" i="19"/>
  <c r="C13" i="23" s="1"/>
  <c r="P6" i="19"/>
  <c r="O15" i="19"/>
  <c r="N15" i="19"/>
  <c r="C15" i="21" s="1"/>
  <c r="N14" i="19"/>
  <c r="C14" i="21" s="1"/>
  <c r="O14" i="19"/>
  <c r="P34" i="19"/>
  <c r="D14" i="23" s="1"/>
  <c r="O34" i="19"/>
  <c r="C14" i="23" s="1"/>
  <c r="P39" i="19"/>
  <c r="D19" i="23" s="1"/>
  <c r="O39" i="19"/>
  <c r="C19" i="23" s="1"/>
  <c r="P29" i="19"/>
  <c r="D9" i="23" s="1"/>
  <c r="O29" i="19"/>
  <c r="C9" i="23" s="1"/>
  <c r="N13" i="19"/>
  <c r="C13" i="21" s="1"/>
  <c r="O13" i="19"/>
  <c r="O9" i="19"/>
  <c r="N9" i="19"/>
  <c r="C9" i="21" s="1"/>
  <c r="O28" i="19"/>
  <c r="C8" i="23" s="1"/>
  <c r="P28" i="19"/>
  <c r="D8" i="23" s="1"/>
  <c r="O8" i="19"/>
  <c r="N8" i="19"/>
  <c r="C8" i="21" s="1"/>
  <c r="N17" i="19"/>
  <c r="C17" i="21" s="1"/>
  <c r="O17" i="19"/>
  <c r="O31" i="19"/>
  <c r="C11" i="23" s="1"/>
  <c r="P31" i="19"/>
  <c r="D11" i="23" s="1"/>
  <c r="O32" i="19"/>
  <c r="C12" i="23" s="1"/>
  <c r="P32" i="19"/>
  <c r="D12" i="23" s="1"/>
  <c r="P36" i="19"/>
  <c r="D16" i="23" s="1"/>
  <c r="O36" i="19"/>
  <c r="C16" i="23" s="1"/>
  <c r="P30" i="19"/>
  <c r="D10" i="23" s="1"/>
  <c r="O30" i="19"/>
  <c r="C10" i="23" s="1"/>
  <c r="Q27" i="19"/>
  <c r="L27" i="19"/>
  <c r="N27" i="19" s="1"/>
  <c r="O4" i="19"/>
  <c r="D4" i="21" s="1"/>
  <c r="N4" i="19"/>
  <c r="C4" i="21" s="1"/>
  <c r="O16" i="19"/>
  <c r="N16" i="19"/>
  <c r="C16" i="21" s="1"/>
  <c r="Q25" i="19"/>
  <c r="L25" i="19"/>
  <c r="N25" i="19" s="1"/>
  <c r="B20" i="3"/>
  <c r="E19" i="3"/>
  <c r="R29" i="2" s="1"/>
  <c r="D19" i="3"/>
  <c r="Q29" i="2" s="1"/>
  <c r="N19" i="19"/>
  <c r="C19" i="21" s="1"/>
  <c r="O19" i="19"/>
  <c r="P7" i="19"/>
  <c r="N12" i="19"/>
  <c r="C12" i="21" s="1"/>
  <c r="O12" i="19"/>
  <c r="P24" i="19"/>
  <c r="D4" i="23" s="1"/>
  <c r="O24" i="19"/>
  <c r="C4" i="23" s="1"/>
  <c r="D21" i="20"/>
  <c r="D16" i="20"/>
  <c r="H11" i="20"/>
  <c r="D24" i="20"/>
  <c r="D15" i="20"/>
  <c r="C3" i="20"/>
  <c r="D23" i="20"/>
  <c r="D10" i="20"/>
  <c r="D18" i="20"/>
  <c r="D22" i="20"/>
  <c r="H9" i="20"/>
  <c r="D13" i="20"/>
  <c r="D17" i="20"/>
  <c r="D19" i="20"/>
  <c r="D12" i="20"/>
  <c r="D25" i="20"/>
  <c r="D14" i="20"/>
  <c r="D20" i="20"/>
  <c r="P35" i="19"/>
  <c r="D15" i="23" s="1"/>
  <c r="O35" i="19"/>
  <c r="C15" i="23" s="1"/>
  <c r="K21" i="2"/>
  <c r="E6" i="5" s="1"/>
  <c r="G6" i="5" s="1"/>
  <c r="K22" i="2"/>
  <c r="E7" i="5" s="1"/>
  <c r="G7" i="5" s="1"/>
  <c r="B3" i="3"/>
  <c r="C16" i="3"/>
  <c r="H11" i="23" s="1"/>
  <c r="C12" i="3"/>
  <c r="H7" i="23" s="1"/>
  <c r="AT18" i="3"/>
  <c r="AU18" i="3" s="1"/>
  <c r="C14" i="3"/>
  <c r="H9" i="23" s="1"/>
  <c r="C25" i="3"/>
  <c r="C18" i="3"/>
  <c r="H13" i="23" s="1"/>
  <c r="C10" i="3"/>
  <c r="H5" i="23" s="1"/>
  <c r="C20" i="3"/>
  <c r="H15" i="23" s="1"/>
  <c r="C13" i="3"/>
  <c r="H8" i="23" s="1"/>
  <c r="C19" i="3"/>
  <c r="H14" i="23" s="1"/>
  <c r="C17" i="3"/>
  <c r="H12" i="23" s="1"/>
  <c r="E6" i="3"/>
  <c r="C11" i="3"/>
  <c r="H6" i="23" s="1"/>
  <c r="C9" i="3"/>
  <c r="H4" i="23" s="1"/>
  <c r="C15" i="3"/>
  <c r="H10" i="23" s="1"/>
  <c r="K20" i="2"/>
  <c r="E5" i="5" s="1"/>
  <c r="G5" i="5" s="1"/>
  <c r="L21" i="2"/>
  <c r="L22" i="2" l="1"/>
  <c r="H14" i="20"/>
  <c r="S29" i="19"/>
  <c r="H12" i="20"/>
  <c r="S27" i="19"/>
  <c r="H17" i="20"/>
  <c r="S32" i="19"/>
  <c r="H18" i="20"/>
  <c r="I18" i="20" s="1"/>
  <c r="S33" i="19"/>
  <c r="H23" i="20"/>
  <c r="I23" i="20" s="1"/>
  <c r="S38" i="19"/>
  <c r="H15" i="20"/>
  <c r="S30" i="19"/>
  <c r="H21" i="20"/>
  <c r="S36" i="19"/>
  <c r="H20" i="20"/>
  <c r="I20" i="20" s="1"/>
  <c r="S35" i="19"/>
  <c r="H25" i="20"/>
  <c r="I25" i="20" s="1"/>
  <c r="A40" i="19" s="1"/>
  <c r="S40" i="19"/>
  <c r="H19" i="20"/>
  <c r="I19" i="20" s="1"/>
  <c r="S34" i="19"/>
  <c r="H13" i="20"/>
  <c r="S28" i="19"/>
  <c r="H22" i="20"/>
  <c r="I22" i="20" s="1"/>
  <c r="S37" i="19"/>
  <c r="H10" i="20"/>
  <c r="S25" i="19"/>
  <c r="H24" i="20"/>
  <c r="S39" i="19"/>
  <c r="H16" i="20"/>
  <c r="S31" i="19"/>
  <c r="E6" i="21"/>
  <c r="G6" i="21" s="1"/>
  <c r="D6" i="21"/>
  <c r="D5" i="21"/>
  <c r="E5" i="21"/>
  <c r="G5" i="21" s="1"/>
  <c r="K6" i="19"/>
  <c r="M6" i="19" s="1"/>
  <c r="N6" i="19" s="1"/>
  <c r="C6" i="21" s="1"/>
  <c r="D42" i="20"/>
  <c r="H11" i="21" s="1"/>
  <c r="L11" i="21" s="1"/>
  <c r="M11" i="21" s="1"/>
  <c r="D49" i="20"/>
  <c r="H18" i="21" s="1"/>
  <c r="L18" i="21" s="1"/>
  <c r="M18" i="21" s="1"/>
  <c r="D38" i="20"/>
  <c r="H7" i="21" s="1"/>
  <c r="D39" i="20"/>
  <c r="H8" i="21" s="1"/>
  <c r="L8" i="21" s="1"/>
  <c r="M8" i="21" s="1"/>
  <c r="D35" i="20"/>
  <c r="H4" i="21" s="1"/>
  <c r="L4" i="21" s="1"/>
  <c r="M4" i="21" s="1"/>
  <c r="D43" i="20"/>
  <c r="H12" i="21" s="1"/>
  <c r="L12" i="21" s="1"/>
  <c r="M12" i="21" s="1"/>
  <c r="D41" i="20"/>
  <c r="H10" i="21" s="1"/>
  <c r="L10" i="21" s="1"/>
  <c r="M10" i="21" s="1"/>
  <c r="D46" i="20"/>
  <c r="H15" i="21" s="1"/>
  <c r="L15" i="21" s="1"/>
  <c r="M15" i="21" s="1"/>
  <c r="D48" i="20"/>
  <c r="H17" i="21" s="1"/>
  <c r="L17" i="21" s="1"/>
  <c r="M17" i="21" s="1"/>
  <c r="D47" i="20"/>
  <c r="H16" i="21" s="1"/>
  <c r="L16" i="21" s="1"/>
  <c r="M16" i="21" s="1"/>
  <c r="D44" i="20"/>
  <c r="H13" i="21" s="1"/>
  <c r="L13" i="21" s="1"/>
  <c r="M13" i="21" s="1"/>
  <c r="D51" i="20"/>
  <c r="D40" i="20"/>
  <c r="H9" i="21" s="1"/>
  <c r="C32" i="20"/>
  <c r="D36" i="20"/>
  <c r="H5" i="21" s="1"/>
  <c r="D50" i="20"/>
  <c r="H19" i="21" s="1"/>
  <c r="L19" i="21" s="1"/>
  <c r="M19" i="21" s="1"/>
  <c r="D37" i="20"/>
  <c r="H6" i="21" s="1"/>
  <c r="D45" i="20"/>
  <c r="H14" i="21" s="1"/>
  <c r="L14" i="21" s="1"/>
  <c r="M14" i="21" s="1"/>
  <c r="P5" i="19"/>
  <c r="E7" i="21"/>
  <c r="G7" i="21" s="1"/>
  <c r="D7" i="21"/>
  <c r="K5" i="19"/>
  <c r="M5" i="19" s="1"/>
  <c r="N5" i="19" s="1"/>
  <c r="C5" i="21" s="1"/>
  <c r="I13" i="20"/>
  <c r="I17" i="20"/>
  <c r="I15" i="20"/>
  <c r="I14" i="20"/>
  <c r="I21" i="20"/>
  <c r="I16" i="20"/>
  <c r="I24" i="20"/>
  <c r="I9" i="20"/>
  <c r="G25" i="20"/>
  <c r="T40" i="19" s="1"/>
  <c r="G14" i="20"/>
  <c r="G18" i="20"/>
  <c r="G21" i="20"/>
  <c r="G20" i="20"/>
  <c r="G22" i="20"/>
  <c r="G16" i="20"/>
  <c r="G11" i="20"/>
  <c r="O7" i="19"/>
  <c r="N7" i="19"/>
  <c r="C7" i="21" s="1"/>
  <c r="G17" i="20"/>
  <c r="G15" i="20"/>
  <c r="P25" i="19"/>
  <c r="O25" i="19"/>
  <c r="C5" i="23" s="1"/>
  <c r="G9" i="20"/>
  <c r="G13" i="20"/>
  <c r="G24" i="20"/>
  <c r="G19" i="20"/>
  <c r="B21" i="3"/>
  <c r="D20" i="3"/>
  <c r="Q30" i="2" s="1"/>
  <c r="E20" i="3"/>
  <c r="R30" i="2" s="1"/>
  <c r="H14" i="18"/>
  <c r="I14" i="18" s="1"/>
  <c r="G10" i="20"/>
  <c r="P26" i="19"/>
  <c r="O26" i="19"/>
  <c r="C6" i="23" s="1"/>
  <c r="B6" i="3"/>
  <c r="D7" i="18"/>
  <c r="G7" i="18" s="1"/>
  <c r="D15" i="18"/>
  <c r="G15" i="18" s="1"/>
  <c r="D12" i="18"/>
  <c r="G12" i="18" s="1"/>
  <c r="D11" i="18"/>
  <c r="G11" i="18" s="1"/>
  <c r="D9" i="18"/>
  <c r="G9" i="18" s="1"/>
  <c r="D6" i="18"/>
  <c r="G6" i="18" s="1"/>
  <c r="D14" i="18"/>
  <c r="G14" i="18" s="1"/>
  <c r="D3" i="18"/>
  <c r="G3" i="18" s="1"/>
  <c r="D8" i="18"/>
  <c r="G8" i="18" s="1"/>
  <c r="D5" i="18"/>
  <c r="G5" i="18" s="1"/>
  <c r="D13" i="18"/>
  <c r="G13" i="18" s="1"/>
  <c r="D4" i="18"/>
  <c r="G4" i="18" s="1"/>
  <c r="D10" i="18"/>
  <c r="G10" i="18" s="1"/>
  <c r="G12" i="20"/>
  <c r="G23" i="20"/>
  <c r="O27" i="19"/>
  <c r="C7" i="23" s="1"/>
  <c r="P27" i="19"/>
  <c r="O5" i="19"/>
  <c r="C15" i="14"/>
  <c r="C18" i="14" s="1"/>
  <c r="C36" i="14"/>
  <c r="C39" i="14" s="1"/>
  <c r="C40" i="14" s="1"/>
  <c r="C43" i="14" s="1"/>
  <c r="P29" i="2"/>
  <c r="F19" i="3"/>
  <c r="I14" i="21" s="1"/>
  <c r="H14" i="5"/>
  <c r="J14" i="23" s="1"/>
  <c r="K14" i="23" s="1"/>
  <c r="G19" i="3"/>
  <c r="F25" i="3"/>
  <c r="G25" i="3"/>
  <c r="H25" i="3" s="1"/>
  <c r="A35" i="2" s="1"/>
  <c r="L20" i="2"/>
  <c r="H4" i="5"/>
  <c r="J4" i="23" s="1"/>
  <c r="K4" i="23" s="1"/>
  <c r="P19" i="2"/>
  <c r="G9" i="3"/>
  <c r="F9" i="3"/>
  <c r="I4" i="21" s="1"/>
  <c r="B39" i="9"/>
  <c r="F38" i="9" s="1"/>
  <c r="B47" i="9" s="1"/>
  <c r="B49" i="9" s="1"/>
  <c r="H15" i="5"/>
  <c r="J15" i="23" s="1"/>
  <c r="K15" i="23" s="1"/>
  <c r="P30" i="2"/>
  <c r="P24" i="2"/>
  <c r="H9" i="5"/>
  <c r="J9" i="23" s="1"/>
  <c r="K9" i="23" s="1"/>
  <c r="G14" i="3"/>
  <c r="F14" i="3"/>
  <c r="I9" i="21" s="1"/>
  <c r="G11" i="3"/>
  <c r="P21" i="2"/>
  <c r="H6" i="5"/>
  <c r="F11" i="3"/>
  <c r="I6" i="21" s="1"/>
  <c r="H13" i="5"/>
  <c r="J13" i="23" s="1"/>
  <c r="K13" i="23" s="1"/>
  <c r="G18" i="3"/>
  <c r="F18" i="3"/>
  <c r="I13" i="21" s="1"/>
  <c r="P28" i="2"/>
  <c r="P22" i="2"/>
  <c r="H7" i="5"/>
  <c r="F12" i="3"/>
  <c r="I7" i="21" s="1"/>
  <c r="G12" i="3"/>
  <c r="N21" i="2"/>
  <c r="D6" i="5" s="1"/>
  <c r="M21" i="2"/>
  <c r="C6" i="5" s="1"/>
  <c r="J6" i="23" s="1"/>
  <c r="K6" i="23" s="1"/>
  <c r="H10" i="5"/>
  <c r="J10" i="23" s="1"/>
  <c r="K10" i="23" s="1"/>
  <c r="F15" i="3"/>
  <c r="I10" i="21" s="1"/>
  <c r="P25" i="2"/>
  <c r="G15" i="3"/>
  <c r="F13" i="3"/>
  <c r="I8" i="21" s="1"/>
  <c r="P23" i="2"/>
  <c r="H8" i="5"/>
  <c r="J8" i="23" s="1"/>
  <c r="K8" i="23" s="1"/>
  <c r="G13" i="3"/>
  <c r="P26" i="2"/>
  <c r="H11" i="5"/>
  <c r="J11" i="23" s="1"/>
  <c r="K11" i="23" s="1"/>
  <c r="F16" i="3"/>
  <c r="I11" i="21" s="1"/>
  <c r="G16" i="3"/>
  <c r="M22" i="2"/>
  <c r="C7" i="5" s="1"/>
  <c r="J7" i="23" s="1"/>
  <c r="K7" i="23" s="1"/>
  <c r="N22" i="2"/>
  <c r="D7" i="5" s="1"/>
  <c r="H12" i="5"/>
  <c r="J12" i="23" s="1"/>
  <c r="K12" i="23" s="1"/>
  <c r="F17" i="3"/>
  <c r="I12" i="21" s="1"/>
  <c r="G17" i="3"/>
  <c r="P27" i="2"/>
  <c r="F10" i="3"/>
  <c r="I5" i="21" s="1"/>
  <c r="G10" i="3"/>
  <c r="P20" i="2"/>
  <c r="H5" i="5"/>
  <c r="J7" i="5" l="1"/>
  <c r="K7" i="5" s="1"/>
  <c r="I7" i="23"/>
  <c r="N7" i="23" s="1"/>
  <c r="O7" i="23" s="1"/>
  <c r="T27" i="19"/>
  <c r="K4" i="18"/>
  <c r="A4" i="18"/>
  <c r="K5" i="18"/>
  <c r="A5" i="18"/>
  <c r="K3" i="18"/>
  <c r="A3" i="18"/>
  <c r="K6" i="18"/>
  <c r="A6" i="18"/>
  <c r="K11" i="18"/>
  <c r="A11" i="18"/>
  <c r="I11" i="20"/>
  <c r="D6" i="23"/>
  <c r="I14" i="23"/>
  <c r="T34" i="19"/>
  <c r="T28" i="19"/>
  <c r="I8" i="23"/>
  <c r="I10" i="23"/>
  <c r="T30" i="19"/>
  <c r="T26" i="19"/>
  <c r="I6" i="23"/>
  <c r="N6" i="23" s="1"/>
  <c r="O6" i="23" s="1"/>
  <c r="I17" i="23"/>
  <c r="T37" i="19"/>
  <c r="T36" i="19"/>
  <c r="I16" i="23"/>
  <c r="I9" i="23"/>
  <c r="T29" i="19"/>
  <c r="A16" i="20"/>
  <c r="A31" i="19"/>
  <c r="A14" i="20"/>
  <c r="A29" i="19"/>
  <c r="A17" i="20"/>
  <c r="A32" i="19"/>
  <c r="J11" i="21"/>
  <c r="K11" i="21" s="1"/>
  <c r="L13" i="23"/>
  <c r="M13" i="23" s="1"/>
  <c r="L9" i="23"/>
  <c r="M9" i="23" s="1"/>
  <c r="L4" i="23"/>
  <c r="M4" i="23" s="1"/>
  <c r="L15" i="23"/>
  <c r="M15" i="23" s="1"/>
  <c r="J6" i="5"/>
  <c r="K6" i="5" s="1"/>
  <c r="I18" i="23"/>
  <c r="T38" i="19"/>
  <c r="K10" i="18"/>
  <c r="A10" i="18"/>
  <c r="K13" i="18"/>
  <c r="A13" i="18"/>
  <c r="K8" i="18"/>
  <c r="A8" i="18"/>
  <c r="K14" i="18"/>
  <c r="A14" i="18"/>
  <c r="K9" i="18"/>
  <c r="A9" i="18"/>
  <c r="K12" i="18"/>
  <c r="A12" i="18"/>
  <c r="K7" i="18"/>
  <c r="A7" i="18"/>
  <c r="I5" i="23"/>
  <c r="N5" i="23" s="1"/>
  <c r="O5" i="23" s="1"/>
  <c r="T25" i="19"/>
  <c r="I19" i="23"/>
  <c r="T39" i="19"/>
  <c r="I10" i="20"/>
  <c r="D5" i="23"/>
  <c r="T32" i="19"/>
  <c r="I12" i="23"/>
  <c r="I11" i="23"/>
  <c r="T31" i="19"/>
  <c r="I15" i="23"/>
  <c r="T35" i="19"/>
  <c r="I13" i="23"/>
  <c r="T33" i="19"/>
  <c r="A24" i="20"/>
  <c r="A39" i="19"/>
  <c r="A21" i="20"/>
  <c r="A36" i="19"/>
  <c r="A15" i="20"/>
  <c r="A30" i="19"/>
  <c r="A13" i="20"/>
  <c r="A28" i="19"/>
  <c r="J17" i="21"/>
  <c r="K17" i="21" s="1"/>
  <c r="L8" i="23"/>
  <c r="M8" i="23" s="1"/>
  <c r="L11" i="23"/>
  <c r="M11" i="23" s="1"/>
  <c r="L12" i="23"/>
  <c r="M12" i="23" s="1"/>
  <c r="A22" i="20"/>
  <c r="A37" i="19"/>
  <c r="A19" i="20"/>
  <c r="A34" i="19"/>
  <c r="A20" i="20"/>
  <c r="A35" i="19"/>
  <c r="L14" i="23"/>
  <c r="M14" i="23" s="1"/>
  <c r="L10" i="23"/>
  <c r="M10" i="23" s="1"/>
  <c r="A23" i="20"/>
  <c r="A38" i="19"/>
  <c r="A18" i="20"/>
  <c r="A33" i="19"/>
  <c r="L5" i="21"/>
  <c r="M5" i="21" s="1"/>
  <c r="J18" i="21"/>
  <c r="K18" i="21" s="1"/>
  <c r="L7" i="21"/>
  <c r="M7" i="21" s="1"/>
  <c r="J14" i="21"/>
  <c r="K14" i="21" s="1"/>
  <c r="O6" i="19"/>
  <c r="J19" i="21"/>
  <c r="K19" i="21" s="1"/>
  <c r="L6" i="21"/>
  <c r="M6" i="21" s="1"/>
  <c r="J10" i="21"/>
  <c r="K10" i="21" s="1"/>
  <c r="J12" i="21"/>
  <c r="K12" i="21" s="1"/>
  <c r="J9" i="21"/>
  <c r="K9" i="21" s="1"/>
  <c r="L9" i="21"/>
  <c r="M9" i="21" s="1"/>
  <c r="J4" i="21"/>
  <c r="K4" i="21" s="1"/>
  <c r="J7" i="21"/>
  <c r="K7" i="21" s="1"/>
  <c r="J5" i="21"/>
  <c r="K5" i="21" s="1"/>
  <c r="J8" i="21"/>
  <c r="K8" i="21" s="1"/>
  <c r="J6" i="21"/>
  <c r="K6" i="21" s="1"/>
  <c r="J16" i="21"/>
  <c r="K16" i="21" s="1"/>
  <c r="J15" i="21"/>
  <c r="K15" i="21" s="1"/>
  <c r="J13" i="21"/>
  <c r="K13" i="21" s="1"/>
  <c r="I12" i="20"/>
  <c r="D7" i="23"/>
  <c r="T24" i="19"/>
  <c r="I4" i="23"/>
  <c r="A9" i="20"/>
  <c r="A24" i="19"/>
  <c r="A11" i="20"/>
  <c r="A26" i="19"/>
  <c r="G20" i="3"/>
  <c r="D19" i="17" s="1"/>
  <c r="M6" i="18"/>
  <c r="J6" i="18"/>
  <c r="M10" i="18"/>
  <c r="J10" i="18"/>
  <c r="M14" i="18"/>
  <c r="J14" i="18"/>
  <c r="G9" i="17"/>
  <c r="C9" i="17"/>
  <c r="D9" i="17"/>
  <c r="H13" i="3"/>
  <c r="A23" i="2" s="1"/>
  <c r="G12" i="17"/>
  <c r="D12" i="17"/>
  <c r="C12" i="17"/>
  <c r="H18" i="3"/>
  <c r="A28" i="2" s="1"/>
  <c r="C17" i="17"/>
  <c r="G17" i="17"/>
  <c r="D17" i="17"/>
  <c r="M3" i="18"/>
  <c r="J3" i="18"/>
  <c r="B22" i="3"/>
  <c r="E21" i="3"/>
  <c r="R31" i="2" s="1"/>
  <c r="D21" i="3"/>
  <c r="Q31" i="2" s="1"/>
  <c r="H15" i="18"/>
  <c r="I15" i="18" s="1"/>
  <c r="J15" i="18" s="1"/>
  <c r="C21" i="3"/>
  <c r="H16" i="23" s="1"/>
  <c r="F20" i="3"/>
  <c r="G11" i="17"/>
  <c r="D11" i="17"/>
  <c r="C11" i="17"/>
  <c r="M7" i="18"/>
  <c r="J7" i="18"/>
  <c r="G10" i="17"/>
  <c r="D10" i="17"/>
  <c r="C10" i="17"/>
  <c r="J5" i="18"/>
  <c r="M5" i="18"/>
  <c r="M12" i="18"/>
  <c r="J12" i="18"/>
  <c r="H19" i="3"/>
  <c r="A29" i="2" s="1"/>
  <c r="G18" i="17"/>
  <c r="C18" i="17"/>
  <c r="D18" i="17"/>
  <c r="H16" i="3"/>
  <c r="A26" i="2" s="1"/>
  <c r="G15" i="17"/>
  <c r="D15" i="17"/>
  <c r="C15" i="17"/>
  <c r="H15" i="3"/>
  <c r="A25" i="2" s="1"/>
  <c r="G14" i="17"/>
  <c r="D14" i="17"/>
  <c r="C14" i="17"/>
  <c r="H9" i="3"/>
  <c r="A19" i="2" s="1"/>
  <c r="G8" i="17"/>
  <c r="D8" i="17"/>
  <c r="C8" i="17"/>
  <c r="M13" i="18"/>
  <c r="J13" i="18"/>
  <c r="M11" i="18"/>
  <c r="J11" i="18"/>
  <c r="M8" i="18"/>
  <c r="J8" i="18"/>
  <c r="H17" i="3"/>
  <c r="A27" i="2" s="1"/>
  <c r="G16" i="17"/>
  <c r="D16" i="17"/>
  <c r="C16" i="17"/>
  <c r="H14" i="3"/>
  <c r="A24" i="2" s="1"/>
  <c r="G13" i="17"/>
  <c r="D13" i="17"/>
  <c r="C13" i="17"/>
  <c r="M4" i="18"/>
  <c r="J4" i="18"/>
  <c r="M9" i="18"/>
  <c r="J9" i="18"/>
  <c r="L8" i="5"/>
  <c r="M8" i="5" s="1"/>
  <c r="J8" i="5"/>
  <c r="K8" i="5" s="1"/>
  <c r="L6" i="5"/>
  <c r="M6" i="5" s="1"/>
  <c r="L13" i="5"/>
  <c r="M13" i="5" s="1"/>
  <c r="J13" i="5"/>
  <c r="K13" i="5" s="1"/>
  <c r="L7" i="5"/>
  <c r="M7" i="5" s="1"/>
  <c r="L11" i="5"/>
  <c r="M11" i="5" s="1"/>
  <c r="J11" i="5"/>
  <c r="K11" i="5" s="1"/>
  <c r="S25" i="2"/>
  <c r="I10" i="5"/>
  <c r="H12" i="3"/>
  <c r="A22" i="2" s="1"/>
  <c r="S21" i="2"/>
  <c r="I6" i="5"/>
  <c r="N6" i="5" s="1"/>
  <c r="O6" i="5" s="1"/>
  <c r="S24" i="2"/>
  <c r="I9" i="5"/>
  <c r="P9" i="5" s="1"/>
  <c r="D50" i="9"/>
  <c r="B50" i="9"/>
  <c r="B52" i="9" s="1"/>
  <c r="J4" i="5"/>
  <c r="K4" i="5" s="1"/>
  <c r="L4" i="5"/>
  <c r="M4" i="5" s="1"/>
  <c r="I12" i="5"/>
  <c r="S27" i="2"/>
  <c r="J9" i="5"/>
  <c r="K9" i="5" s="1"/>
  <c r="L9" i="5"/>
  <c r="M9" i="5" s="1"/>
  <c r="J15" i="5"/>
  <c r="K15" i="5" s="1"/>
  <c r="L15" i="5"/>
  <c r="M15" i="5" s="1"/>
  <c r="I14" i="5"/>
  <c r="S29" i="2"/>
  <c r="S20" i="2"/>
  <c r="I5" i="5"/>
  <c r="J12" i="5"/>
  <c r="K12" i="5" s="1"/>
  <c r="L12" i="5"/>
  <c r="M12" i="5" s="1"/>
  <c r="S26" i="2"/>
  <c r="I11" i="5"/>
  <c r="H11" i="3"/>
  <c r="A21" i="2" s="1"/>
  <c r="S23" i="2"/>
  <c r="I8" i="5"/>
  <c r="J10" i="5"/>
  <c r="K10" i="5" s="1"/>
  <c r="L10" i="5"/>
  <c r="M10" i="5" s="1"/>
  <c r="S22" i="2"/>
  <c r="I7" i="5"/>
  <c r="N7" i="5" s="1"/>
  <c r="O7" i="5" s="1"/>
  <c r="S28" i="2"/>
  <c r="I13" i="5"/>
  <c r="I4" i="5"/>
  <c r="S19" i="2"/>
  <c r="D30" i="4"/>
  <c r="D32" i="4" s="1"/>
  <c r="N20" i="2"/>
  <c r="D5" i="5" s="1"/>
  <c r="M20" i="2"/>
  <c r="C5" i="5" s="1"/>
  <c r="J5" i="23" s="1"/>
  <c r="K5" i="23" s="1"/>
  <c r="J14" i="5"/>
  <c r="K14" i="5" s="1"/>
  <c r="L14" i="5"/>
  <c r="M14" i="5" s="1"/>
  <c r="S30" i="2" l="1"/>
  <c r="I15" i="21"/>
  <c r="P4" i="23"/>
  <c r="N4" i="23"/>
  <c r="P13" i="23"/>
  <c r="Q13" i="23" s="1"/>
  <c r="N13" i="23"/>
  <c r="O13" i="23" s="1"/>
  <c r="P15" i="23"/>
  <c r="Q15" i="23" s="1"/>
  <c r="N15" i="23"/>
  <c r="O15" i="23" s="1"/>
  <c r="N11" i="23"/>
  <c r="O11" i="23" s="1"/>
  <c r="P11" i="23"/>
  <c r="Q11" i="23" s="1"/>
  <c r="A10" i="20"/>
  <c r="A25" i="19"/>
  <c r="P19" i="23"/>
  <c r="Q19" i="23" s="1"/>
  <c r="N19" i="23"/>
  <c r="O19" i="23" s="1"/>
  <c r="N18" i="23"/>
  <c r="O18" i="23" s="1"/>
  <c r="P18" i="23"/>
  <c r="Q18" i="23" s="1"/>
  <c r="P9" i="23"/>
  <c r="Q9" i="23" s="1"/>
  <c r="N9" i="23"/>
  <c r="O9" i="23" s="1"/>
  <c r="P17" i="23"/>
  <c r="Q17" i="23" s="1"/>
  <c r="N17" i="23"/>
  <c r="O17" i="23" s="1"/>
  <c r="N10" i="23"/>
  <c r="O10" i="23" s="1"/>
  <c r="P10" i="23"/>
  <c r="Q10" i="23" s="1"/>
  <c r="N14" i="23"/>
  <c r="O14" i="23" s="1"/>
  <c r="P14" i="23"/>
  <c r="Q14" i="23" s="1"/>
  <c r="K15" i="18"/>
  <c r="N5" i="5"/>
  <c r="O5" i="5" s="1"/>
  <c r="N12" i="23"/>
  <c r="O12" i="23" s="1"/>
  <c r="P12" i="23"/>
  <c r="Q12" i="23" s="1"/>
  <c r="L5" i="23"/>
  <c r="M5" i="23" s="1"/>
  <c r="P5" i="23"/>
  <c r="Q5" i="23" s="1"/>
  <c r="N16" i="23"/>
  <c r="O16" i="23" s="1"/>
  <c r="P16" i="23"/>
  <c r="Q16" i="23" s="1"/>
  <c r="N8" i="23"/>
  <c r="O8" i="23" s="1"/>
  <c r="P8" i="23"/>
  <c r="Q8" i="23" s="1"/>
  <c r="L6" i="23"/>
  <c r="M6" i="23" s="1"/>
  <c r="P6" i="23"/>
  <c r="Q6" i="23" s="1"/>
  <c r="A15" i="18"/>
  <c r="J5" i="5"/>
  <c r="K5" i="5" s="1"/>
  <c r="P7" i="5"/>
  <c r="Q7" i="5" s="1"/>
  <c r="A12" i="20"/>
  <c r="C27" i="20" s="1"/>
  <c r="A27" i="19"/>
  <c r="P7" i="23"/>
  <c r="Q7" i="23" s="1"/>
  <c r="L7" i="23"/>
  <c r="M7" i="23" s="1"/>
  <c r="Q4" i="23"/>
  <c r="O4" i="23"/>
  <c r="C19" i="17"/>
  <c r="H20" i="3"/>
  <c r="A30" i="2" s="1"/>
  <c r="M15" i="18"/>
  <c r="G19" i="17"/>
  <c r="G21" i="3"/>
  <c r="P31" i="2"/>
  <c r="F21" i="3"/>
  <c r="I16" i="21" s="1"/>
  <c r="H16" i="5"/>
  <c r="I15" i="5"/>
  <c r="N15" i="5" s="1"/>
  <c r="O15" i="5" s="1"/>
  <c r="B23" i="3"/>
  <c r="E22" i="3"/>
  <c r="R32" i="2" s="1"/>
  <c r="D22" i="3"/>
  <c r="Q32" i="2" s="1"/>
  <c r="H16" i="18"/>
  <c r="I16" i="18" s="1"/>
  <c r="C22" i="3"/>
  <c r="H17" i="23" s="1"/>
  <c r="D16" i="18"/>
  <c r="G16" i="18" s="1"/>
  <c r="P4" i="5"/>
  <c r="Q4" i="5" s="1"/>
  <c r="N4" i="5"/>
  <c r="O4" i="5" s="1"/>
  <c r="Q9" i="5"/>
  <c r="N9" i="5"/>
  <c r="O9" i="5" s="1"/>
  <c r="P5" i="5"/>
  <c r="Q5" i="5" s="1"/>
  <c r="L5" i="5"/>
  <c r="M5" i="5" s="1"/>
  <c r="N13" i="5"/>
  <c r="O13" i="5" s="1"/>
  <c r="P13" i="5"/>
  <c r="Q13" i="5" s="1"/>
  <c r="N12" i="5"/>
  <c r="O12" i="5" s="1"/>
  <c r="P12" i="5"/>
  <c r="Q12" i="5" s="1"/>
  <c r="N11" i="5"/>
  <c r="O11" i="5" s="1"/>
  <c r="P11" i="5"/>
  <c r="Q11" i="5" s="1"/>
  <c r="P6" i="5"/>
  <c r="Q6" i="5" s="1"/>
  <c r="N14" i="5"/>
  <c r="O14" i="5" s="1"/>
  <c r="P14" i="5"/>
  <c r="Q14" i="5" s="1"/>
  <c r="H10" i="3"/>
  <c r="A20" i="2" s="1"/>
  <c r="C2" i="6" s="1"/>
  <c r="N8" i="5"/>
  <c r="O8" i="5" s="1"/>
  <c r="P8" i="5"/>
  <c r="Q8" i="5" s="1"/>
  <c r="N10" i="5"/>
  <c r="O10" i="5" s="1"/>
  <c r="P10" i="5"/>
  <c r="Q10" i="5" s="1"/>
  <c r="K16" i="18" l="1"/>
  <c r="A16" i="18"/>
  <c r="J16" i="23"/>
  <c r="K16" i="23" s="1"/>
  <c r="L16" i="23"/>
  <c r="M16" i="23" s="1"/>
  <c r="P15" i="5"/>
  <c r="Q15" i="5" s="1"/>
  <c r="H21" i="3"/>
  <c r="A31" i="2" s="1"/>
  <c r="C3" i="6" s="1"/>
  <c r="D20" i="17"/>
  <c r="G20" i="17"/>
  <c r="C20" i="17"/>
  <c r="H17" i="5"/>
  <c r="F22" i="3"/>
  <c r="I17" i="21" s="1"/>
  <c r="P32" i="2"/>
  <c r="G22" i="3"/>
  <c r="M16" i="18"/>
  <c r="J16" i="18"/>
  <c r="S31" i="2"/>
  <c r="I16" i="5"/>
  <c r="L16" i="5"/>
  <c r="M16" i="5" s="1"/>
  <c r="J16" i="5"/>
  <c r="K16" i="5" s="1"/>
  <c r="B24" i="3"/>
  <c r="H17" i="18"/>
  <c r="I17" i="18" s="1"/>
  <c r="E23" i="3"/>
  <c r="R33" i="2" s="1"/>
  <c r="D23" i="3"/>
  <c r="Q33" i="2" s="1"/>
  <c r="C23" i="3"/>
  <c r="H18" i="23" s="1"/>
  <c r="D17" i="18"/>
  <c r="G17" i="18" s="1"/>
  <c r="K17" i="18" l="1"/>
  <c r="A17" i="18"/>
  <c r="J17" i="23"/>
  <c r="K17" i="23" s="1"/>
  <c r="L17" i="23"/>
  <c r="M17" i="23" s="1"/>
  <c r="F23" i="3"/>
  <c r="I18" i="21" s="1"/>
  <c r="G23" i="3"/>
  <c r="H18" i="5"/>
  <c r="P33" i="2"/>
  <c r="J17" i="18"/>
  <c r="M17" i="18"/>
  <c r="N16" i="5"/>
  <c r="O16" i="5" s="1"/>
  <c r="P16" i="5"/>
  <c r="Q16" i="5" s="1"/>
  <c r="L17" i="5"/>
  <c r="M17" i="5" s="1"/>
  <c r="J17" i="5"/>
  <c r="K17" i="5" s="1"/>
  <c r="I17" i="5"/>
  <c r="S32" i="2"/>
  <c r="E24" i="3"/>
  <c r="R34" i="2" s="1"/>
  <c r="H18" i="18"/>
  <c r="I18" i="18" s="1"/>
  <c r="D24" i="3"/>
  <c r="Q34" i="2" s="1"/>
  <c r="C24" i="3"/>
  <c r="H19" i="23" s="1"/>
  <c r="D18" i="18"/>
  <c r="G18" i="18" s="1"/>
  <c r="H22" i="3"/>
  <c r="A32" i="2" s="1"/>
  <c r="G21" i="17"/>
  <c r="D21" i="17"/>
  <c r="C21" i="17"/>
  <c r="K18" i="18" l="1"/>
  <c r="A18" i="18"/>
  <c r="C20" i="18" s="1"/>
  <c r="J18" i="23"/>
  <c r="K18" i="23" s="1"/>
  <c r="L18" i="23"/>
  <c r="M18" i="23" s="1"/>
  <c r="P17" i="5"/>
  <c r="Q17" i="5" s="1"/>
  <c r="N17" i="5"/>
  <c r="O17" i="5" s="1"/>
  <c r="S33" i="2"/>
  <c r="I18" i="5"/>
  <c r="F24" i="3"/>
  <c r="I19" i="21" s="1"/>
  <c r="P34" i="2"/>
  <c r="H19" i="5"/>
  <c r="G24" i="3"/>
  <c r="H23" i="3"/>
  <c r="A33" i="2" s="1"/>
  <c r="G22" i="17"/>
  <c r="D22" i="17"/>
  <c r="C22" i="17"/>
  <c r="M18" i="18"/>
  <c r="J18" i="18"/>
  <c r="L18" i="5"/>
  <c r="M18" i="5" s="1"/>
  <c r="J18" i="5"/>
  <c r="K18" i="5" s="1"/>
  <c r="J19" i="23" l="1"/>
  <c r="K19" i="23" s="1"/>
  <c r="L19" i="23"/>
  <c r="M19" i="23" s="1"/>
  <c r="L19" i="5"/>
  <c r="M19" i="5" s="1"/>
  <c r="J19" i="5"/>
  <c r="K19" i="5" s="1"/>
  <c r="H24" i="3"/>
  <c r="A34" i="2" s="1"/>
  <c r="B12" i="7" s="1"/>
  <c r="G23" i="17"/>
  <c r="D23" i="17"/>
  <c r="C23" i="17"/>
  <c r="S34" i="2"/>
  <c r="I19" i="5"/>
  <c r="P18" i="5"/>
  <c r="Q18" i="5" s="1"/>
  <c r="N18" i="5"/>
  <c r="O18" i="5" s="1"/>
  <c r="B27" i="7" l="1"/>
  <c r="C5" i="6"/>
  <c r="C8" i="6"/>
  <c r="C6" i="6"/>
  <c r="B39" i="7"/>
  <c r="C9" i="6"/>
  <c r="C7" i="6"/>
  <c r="N19" i="5"/>
  <c r="O19" i="5" s="1"/>
  <c r="P19" i="5"/>
  <c r="Q19" i="5" s="1"/>
  <c r="D4" i="6"/>
  <c r="B7" i="7" s="1"/>
  <c r="B18" i="7" s="1"/>
  <c r="E2" i="17"/>
  <c r="K21" i="17" s="1"/>
  <c r="L21" i="17" s="1"/>
  <c r="B46" i="7" l="1"/>
  <c r="B28" i="7"/>
  <c r="B29" i="7" s="1"/>
  <c r="B45" i="7"/>
  <c r="F44" i="7" s="1"/>
  <c r="B37" i="7"/>
  <c r="B38" i="7"/>
  <c r="F38" i="7" s="1"/>
  <c r="D19" i="7"/>
  <c r="B19" i="7"/>
  <c r="C6" i="14" s="1"/>
  <c r="C7" i="14" s="1"/>
  <c r="H23" i="6"/>
  <c r="H15" i="6"/>
  <c r="H17" i="6"/>
  <c r="H21" i="6"/>
  <c r="K8" i="17"/>
  <c r="L8" i="17" s="1"/>
  <c r="M8" i="17" s="1"/>
  <c r="K22" i="17"/>
  <c r="L22" i="17" s="1"/>
  <c r="M22" i="17" s="1"/>
  <c r="K19" i="17"/>
  <c r="L19" i="17" s="1"/>
  <c r="P19" i="17" s="1"/>
  <c r="Q19" i="17" s="1"/>
  <c r="M21" i="17"/>
  <c r="P21" i="17"/>
  <c r="Q21" i="17" s="1"/>
  <c r="K15" i="17"/>
  <c r="L15" i="17" s="1"/>
  <c r="K11" i="17"/>
  <c r="L11" i="17" s="1"/>
  <c r="K17" i="17"/>
  <c r="L17" i="17" s="1"/>
  <c r="K20" i="17"/>
  <c r="L20" i="17" s="1"/>
  <c r="K10" i="17"/>
  <c r="L10" i="17" s="1"/>
  <c r="K12" i="17"/>
  <c r="L12" i="17" s="1"/>
  <c r="K23" i="17"/>
  <c r="L23" i="17" s="1"/>
  <c r="K14" i="17"/>
  <c r="L14" i="17" s="1"/>
  <c r="K18" i="17"/>
  <c r="L18" i="17" s="1"/>
  <c r="K16" i="17"/>
  <c r="L16" i="17" s="1"/>
  <c r="K13" i="17"/>
  <c r="L13" i="17" s="1"/>
  <c r="K9" i="17"/>
  <c r="L9" i="17" s="1"/>
  <c r="B47" i="7" l="1"/>
  <c r="B49" i="7" s="1"/>
  <c r="B50" i="7" s="1"/>
  <c r="B52" i="7" s="1"/>
  <c r="C16" i="14"/>
  <c r="C14" i="14"/>
  <c r="C17" i="14" s="1"/>
  <c r="P8" i="17"/>
  <c r="Q8" i="17" s="1"/>
  <c r="S8" i="17" s="1"/>
  <c r="A8" i="17" s="1"/>
  <c r="P22" i="17"/>
  <c r="Q22" i="17" s="1"/>
  <c r="S22" i="17" s="1"/>
  <c r="A22" i="17" s="1"/>
  <c r="M19" i="17"/>
  <c r="M13" i="17"/>
  <c r="P13" i="17"/>
  <c r="Q13" i="17" s="1"/>
  <c r="P17" i="17"/>
  <c r="Q17" i="17" s="1"/>
  <c r="M17" i="17"/>
  <c r="M9" i="17"/>
  <c r="P9" i="17"/>
  <c r="Q9" i="17" s="1"/>
  <c r="M12" i="17"/>
  <c r="P12" i="17"/>
  <c r="Q12" i="17" s="1"/>
  <c r="P23" i="17"/>
  <c r="Q23" i="17" s="1"/>
  <c r="M23" i="17"/>
  <c r="P18" i="17"/>
  <c r="Q18" i="17" s="1"/>
  <c r="M18" i="17"/>
  <c r="P15" i="17"/>
  <c r="Q15" i="17" s="1"/>
  <c r="M15" i="17"/>
  <c r="P16" i="17"/>
  <c r="Q16" i="17" s="1"/>
  <c r="M16" i="17"/>
  <c r="P11" i="17"/>
  <c r="Q11" i="17" s="1"/>
  <c r="M11" i="17"/>
  <c r="M20" i="17"/>
  <c r="P20" i="17"/>
  <c r="Q20" i="17" s="1"/>
  <c r="P10" i="17"/>
  <c r="Q10" i="17" s="1"/>
  <c r="M10" i="17"/>
  <c r="S19" i="17"/>
  <c r="A19" i="17" s="1"/>
  <c r="R19" i="17"/>
  <c r="P14" i="17"/>
  <c r="Q14" i="17" s="1"/>
  <c r="M14" i="17"/>
  <c r="R21" i="17"/>
  <c r="S21" i="17"/>
  <c r="A21" i="17" s="1"/>
  <c r="D50" i="7" l="1"/>
  <c r="C19" i="14"/>
  <c r="C22" i="14" s="1"/>
  <c r="R8" i="17"/>
  <c r="R22" i="17"/>
  <c r="S16" i="17"/>
  <c r="A16" i="17" s="1"/>
  <c r="R16" i="17"/>
  <c r="R12" i="17"/>
  <c r="S12" i="17"/>
  <c r="A12" i="17" s="1"/>
  <c r="S23" i="17"/>
  <c r="A23" i="17" s="1"/>
  <c r="R23" i="17"/>
  <c r="S14" i="17"/>
  <c r="A14" i="17" s="1"/>
  <c r="R14" i="17"/>
  <c r="S17" i="17"/>
  <c r="A17" i="17" s="1"/>
  <c r="R17" i="17"/>
  <c r="R10" i="17"/>
  <c r="S10" i="17"/>
  <c r="A10" i="17" s="1"/>
  <c r="R11" i="17"/>
  <c r="S11" i="17"/>
  <c r="A11" i="17" s="1"/>
  <c r="S13" i="17"/>
  <c r="A13" i="17" s="1"/>
  <c r="R13" i="17"/>
  <c r="S18" i="17"/>
  <c r="A18" i="17" s="1"/>
  <c r="R18" i="17"/>
  <c r="S15" i="17"/>
  <c r="A15" i="17" s="1"/>
  <c r="R15" i="17"/>
  <c r="R20" i="17"/>
  <c r="S20" i="17"/>
  <c r="A20" i="17" s="1"/>
  <c r="S9" i="17"/>
  <c r="A9" i="17" s="1"/>
  <c r="R9" i="17"/>
  <c r="E25" i="17" l="1"/>
</calcChain>
</file>

<file path=xl/comments1.xml><?xml version="1.0" encoding="utf-8"?>
<comments xmlns="http://schemas.openxmlformats.org/spreadsheetml/2006/main">
  <authors>
    <author>Janet</author>
  </authors>
  <commentList>
    <comment ref="C18" authorId="0">
      <text>
        <r>
          <rPr>
            <b/>
            <sz val="9"/>
            <color indexed="81"/>
            <rFont val="Tahoma"/>
            <family val="2"/>
          </rPr>
          <t>groub 4:</t>
        </r>
        <r>
          <rPr>
            <sz val="9"/>
            <color indexed="81"/>
            <rFont val="Tahoma"/>
            <family val="2"/>
          </rPr>
          <t xml:space="preserve">
بعد المقطع عن منتصف الجائز</t>
        </r>
      </text>
    </comment>
    <comment ref="D18" authorId="0">
      <text>
        <r>
          <rPr>
            <b/>
            <sz val="9"/>
            <color indexed="81"/>
            <rFont val="Tahoma"/>
            <family val="2"/>
          </rPr>
          <t>groub 4:</t>
        </r>
        <r>
          <rPr>
            <sz val="9"/>
            <color indexed="81"/>
            <rFont val="Tahoma"/>
            <family val="2"/>
          </rPr>
          <t xml:space="preserve">
ارتفاع المقطع
h =L/15 _ L/35</t>
        </r>
      </text>
    </comment>
    <comment ref="E18" authorId="0">
      <text>
        <r>
          <rPr>
            <b/>
            <sz val="9"/>
            <color indexed="81"/>
            <rFont val="Tahoma"/>
            <family val="2"/>
          </rPr>
          <t>groub 4:</t>
        </r>
        <r>
          <rPr>
            <sz val="9"/>
            <color indexed="81"/>
            <rFont val="Tahoma"/>
            <family val="2"/>
          </rPr>
          <t xml:space="preserve">
سماكة الجناح
tf&gt;=15cm</t>
        </r>
      </text>
    </comment>
    <comment ref="F18" authorId="0">
      <text>
        <r>
          <rPr>
            <b/>
            <sz val="9"/>
            <color indexed="81"/>
            <rFont val="Tahoma"/>
            <family val="2"/>
          </rPr>
          <t>groub 4:</t>
        </r>
        <r>
          <rPr>
            <sz val="9"/>
            <color indexed="81"/>
            <rFont val="Tahoma"/>
            <family val="2"/>
          </rPr>
          <t xml:space="preserve">
ارتفاع الجسد</t>
        </r>
      </text>
    </comment>
    <comment ref="G18" authorId="0">
      <text>
        <r>
          <rPr>
            <b/>
            <sz val="9"/>
            <color indexed="81"/>
            <rFont val="Tahoma"/>
            <family val="2"/>
          </rPr>
          <t>groub 4:</t>
        </r>
        <r>
          <rPr>
            <sz val="9"/>
            <color indexed="81"/>
            <rFont val="Tahoma"/>
            <family val="2"/>
          </rPr>
          <t xml:space="preserve">
عرض الجسد
bw&gt;=15 cm</t>
        </r>
      </text>
    </comment>
    <comment ref="H18" authorId="0">
      <text>
        <r>
          <rPr>
            <b/>
            <sz val="9"/>
            <color indexed="81"/>
            <rFont val="Tahoma"/>
            <family val="2"/>
          </rPr>
          <t>groub 4:</t>
        </r>
        <r>
          <rPr>
            <sz val="9"/>
            <color indexed="81"/>
            <rFont val="Tahoma"/>
            <family val="2"/>
          </rPr>
          <t xml:space="preserve">
عرض الجناح
 bf&gt;=50 cm</t>
        </r>
      </text>
    </comment>
    <comment ref="I18" authorId="0">
      <text>
        <r>
          <rPr>
            <b/>
            <sz val="9"/>
            <color indexed="81"/>
            <rFont val="Tahoma"/>
            <family val="2"/>
          </rPr>
          <t>groub 4:</t>
        </r>
        <r>
          <rPr>
            <sz val="9"/>
            <color indexed="81"/>
            <rFont val="Tahoma"/>
            <family val="2"/>
          </rPr>
          <t xml:space="preserve">
مساحة المقطع</t>
        </r>
      </text>
    </comment>
    <comment ref="J18" authorId="0">
      <text>
        <r>
          <rPr>
            <b/>
            <sz val="9"/>
            <color indexed="81"/>
            <rFont val="Tahoma"/>
            <family val="2"/>
          </rPr>
          <t>groub 4:</t>
        </r>
        <r>
          <rPr>
            <sz val="9"/>
            <color indexed="81"/>
            <rFont val="Tahoma"/>
            <family val="2"/>
          </rPr>
          <t xml:space="preserve">
بعد مركز ثقل المقطع عن الألياف العلوية</t>
        </r>
      </text>
    </comment>
    <comment ref="K18" authorId="0">
      <text>
        <r>
          <rPr>
            <b/>
            <sz val="9"/>
            <color indexed="81"/>
            <rFont val="Tahoma"/>
            <family val="2"/>
          </rPr>
          <t>groub 4:</t>
        </r>
        <r>
          <rPr>
            <sz val="9"/>
            <color indexed="81"/>
            <rFont val="Tahoma"/>
            <family val="2"/>
          </rPr>
          <t xml:space="preserve">
بعد مركز ثقل المقطع عن الألياف السفلية</t>
        </r>
      </text>
    </comment>
    <comment ref="L18" authorId="0">
      <text>
        <r>
          <rPr>
            <b/>
            <sz val="9"/>
            <color indexed="81"/>
            <rFont val="Tahoma"/>
            <family val="2"/>
          </rPr>
          <t>groub 4:</t>
        </r>
        <r>
          <rPr>
            <sz val="9"/>
            <color indexed="81"/>
            <rFont val="Tahoma"/>
            <family val="2"/>
          </rPr>
          <t xml:space="preserve">
عزم عطالة المقطع</t>
        </r>
      </text>
    </comment>
    <comment ref="M18" authorId="0">
      <text>
        <r>
          <rPr>
            <b/>
            <sz val="9"/>
            <color indexed="81"/>
            <rFont val="Tahoma"/>
            <family val="2"/>
          </rPr>
          <t>groub 4:</t>
        </r>
        <r>
          <rPr>
            <sz val="9"/>
            <color indexed="81"/>
            <rFont val="Tahoma"/>
            <family val="2"/>
          </rPr>
          <t xml:space="preserve">
العزم المقاوم لليف العلوي</t>
        </r>
      </text>
    </comment>
    <comment ref="N18" authorId="0">
      <text>
        <r>
          <rPr>
            <b/>
            <sz val="9"/>
            <color indexed="81"/>
            <rFont val="Tahoma"/>
            <family val="2"/>
          </rPr>
          <t>groub 4 :</t>
        </r>
        <r>
          <rPr>
            <sz val="9"/>
            <color indexed="81"/>
            <rFont val="Tahoma"/>
            <family val="2"/>
          </rPr>
          <t xml:space="preserve">
العزم المقاوم لليف السفلي</t>
        </r>
      </text>
    </comment>
    <comment ref="G19" authorId="0">
      <text>
        <r>
          <rPr>
            <b/>
            <sz val="9"/>
            <color indexed="81"/>
            <rFont val="Tahoma"/>
            <family val="2"/>
          </rPr>
          <t>Janet:</t>
        </r>
        <r>
          <rPr>
            <sz val="9"/>
            <color indexed="81"/>
            <rFont val="Tahoma"/>
            <family val="2"/>
          </rPr>
          <t xml:space="preserve">
ادخل عرض الجسد في منتصف الجائز</t>
        </r>
      </text>
    </comment>
  </commentList>
</comments>
</file>

<file path=xl/comments2.xml><?xml version="1.0" encoding="utf-8"?>
<comments xmlns="http://schemas.openxmlformats.org/spreadsheetml/2006/main">
  <authors>
    <author>AIHAM ABBOUD</author>
    <author>Janet</author>
  </authors>
  <commentList>
    <comment ref="G3" authorId="0">
      <text>
        <r>
          <rPr>
            <b/>
            <sz val="9"/>
            <color indexed="81"/>
            <rFont val="Tahoma"/>
            <family val="2"/>
          </rPr>
          <t>groub 4:</t>
        </r>
        <r>
          <rPr>
            <sz val="9"/>
            <color indexed="81"/>
            <rFont val="Tahoma"/>
            <family val="2"/>
          </rPr>
          <t xml:space="preserve">
يؤخذ الوزن الذاتي من المساحة الوسطية للمقطع المفروض سابقا ً</t>
        </r>
      </text>
    </comment>
    <comment ref="AH17" authorId="1">
      <text>
        <r>
          <rPr>
            <b/>
            <sz val="9"/>
            <color indexed="81"/>
            <rFont val="Tahoma"/>
            <family val="2"/>
          </rPr>
          <t>Janet:</t>
        </r>
        <r>
          <rPr>
            <sz val="9"/>
            <color indexed="81"/>
            <rFont val="Tahoma"/>
            <family val="2"/>
          </rPr>
          <t xml:space="preserve">
بعد المقطع عن منتصف الجائز</t>
        </r>
      </text>
    </comment>
    <comment ref="AI17" authorId="1">
      <text>
        <r>
          <rPr>
            <b/>
            <sz val="9"/>
            <color indexed="81"/>
            <rFont val="Tahoma"/>
            <family val="2"/>
          </rPr>
          <t>Janet:</t>
        </r>
        <r>
          <rPr>
            <sz val="9"/>
            <color indexed="81"/>
            <rFont val="Tahoma"/>
            <family val="2"/>
          </rPr>
          <t xml:space="preserve">
ارتفاع المقطع
h =L/15 _ L/35</t>
        </r>
      </text>
    </comment>
    <comment ref="AJ17" authorId="1">
      <text>
        <r>
          <rPr>
            <b/>
            <sz val="9"/>
            <color indexed="81"/>
            <rFont val="Tahoma"/>
            <family val="2"/>
          </rPr>
          <t>Janet:</t>
        </r>
        <r>
          <rPr>
            <sz val="9"/>
            <color indexed="81"/>
            <rFont val="Tahoma"/>
            <family val="2"/>
          </rPr>
          <t xml:space="preserve">
سماكة الجناح
tf&gt;=15cm</t>
        </r>
      </text>
    </comment>
    <comment ref="AK17" authorId="1">
      <text>
        <r>
          <rPr>
            <b/>
            <sz val="9"/>
            <color indexed="81"/>
            <rFont val="Tahoma"/>
            <family val="2"/>
          </rPr>
          <t>Janet:</t>
        </r>
        <r>
          <rPr>
            <sz val="9"/>
            <color indexed="81"/>
            <rFont val="Tahoma"/>
            <family val="2"/>
          </rPr>
          <t xml:space="preserve">
ارتفاع الجسد</t>
        </r>
      </text>
    </comment>
    <comment ref="AL17" authorId="1">
      <text>
        <r>
          <rPr>
            <b/>
            <sz val="9"/>
            <color indexed="81"/>
            <rFont val="Tahoma"/>
            <family val="2"/>
          </rPr>
          <t>Janet:</t>
        </r>
        <r>
          <rPr>
            <sz val="9"/>
            <color indexed="81"/>
            <rFont val="Tahoma"/>
            <family val="2"/>
          </rPr>
          <t xml:space="preserve">
عرض الجسد
bw&gt;=15 cm</t>
        </r>
      </text>
    </comment>
    <comment ref="AM17" authorId="1">
      <text>
        <r>
          <rPr>
            <b/>
            <sz val="9"/>
            <color indexed="81"/>
            <rFont val="Tahoma"/>
            <family val="2"/>
          </rPr>
          <t>Janet:</t>
        </r>
        <r>
          <rPr>
            <sz val="9"/>
            <color indexed="81"/>
            <rFont val="Tahoma"/>
            <family val="2"/>
          </rPr>
          <t xml:space="preserve">
عرض الجناح
 bf&gt;=50 cm</t>
        </r>
      </text>
    </comment>
    <comment ref="AN17" authorId="1">
      <text>
        <r>
          <rPr>
            <b/>
            <sz val="9"/>
            <color indexed="81"/>
            <rFont val="Tahoma"/>
            <family val="2"/>
          </rPr>
          <t>Janet:</t>
        </r>
        <r>
          <rPr>
            <sz val="9"/>
            <color indexed="81"/>
            <rFont val="Tahoma"/>
            <family val="2"/>
          </rPr>
          <t xml:space="preserve">
مساحة المقطع</t>
        </r>
      </text>
    </comment>
    <comment ref="AO17" authorId="1">
      <text>
        <r>
          <rPr>
            <b/>
            <sz val="9"/>
            <color indexed="81"/>
            <rFont val="Tahoma"/>
            <family val="2"/>
          </rPr>
          <t>Janet:</t>
        </r>
        <r>
          <rPr>
            <sz val="9"/>
            <color indexed="81"/>
            <rFont val="Tahoma"/>
            <family val="2"/>
          </rPr>
          <t xml:space="preserve">
بعد مركز ثقل المقطع عن الألياف العلوية</t>
        </r>
      </text>
    </comment>
    <comment ref="AP17" authorId="1">
      <text>
        <r>
          <rPr>
            <b/>
            <sz val="9"/>
            <color indexed="81"/>
            <rFont val="Tahoma"/>
            <family val="2"/>
          </rPr>
          <t>Janet:</t>
        </r>
        <r>
          <rPr>
            <sz val="9"/>
            <color indexed="81"/>
            <rFont val="Tahoma"/>
            <family val="2"/>
          </rPr>
          <t xml:space="preserve">
بعد مركز ثقل المقطع عن الألياف السفلية</t>
        </r>
      </text>
    </comment>
    <comment ref="AQ17" authorId="1">
      <text>
        <r>
          <rPr>
            <b/>
            <sz val="9"/>
            <color indexed="81"/>
            <rFont val="Tahoma"/>
            <family val="2"/>
          </rPr>
          <t>Janet:</t>
        </r>
        <r>
          <rPr>
            <sz val="9"/>
            <color indexed="81"/>
            <rFont val="Tahoma"/>
            <family val="2"/>
          </rPr>
          <t xml:space="preserve">
عزم عطالة المقطع</t>
        </r>
      </text>
    </comment>
    <comment ref="AR17" authorId="1">
      <text>
        <r>
          <rPr>
            <b/>
            <sz val="9"/>
            <color indexed="81"/>
            <rFont val="Tahoma"/>
            <family val="2"/>
          </rPr>
          <t>Janet:</t>
        </r>
        <r>
          <rPr>
            <sz val="9"/>
            <color indexed="81"/>
            <rFont val="Tahoma"/>
            <family val="2"/>
          </rPr>
          <t xml:space="preserve">
العزم المقاوم لليف العلوي</t>
        </r>
      </text>
    </comment>
    <comment ref="AS17" authorId="1">
      <text>
        <r>
          <rPr>
            <b/>
            <sz val="9"/>
            <color indexed="81"/>
            <rFont val="Tahoma"/>
            <family val="2"/>
          </rPr>
          <t>Janet:</t>
        </r>
        <r>
          <rPr>
            <sz val="9"/>
            <color indexed="81"/>
            <rFont val="Tahoma"/>
            <family val="2"/>
          </rPr>
          <t xml:space="preserve">
العزم المقاوم لليف السفلي</t>
        </r>
      </text>
    </comment>
  </commentList>
</comments>
</file>

<file path=xl/comments3.xml><?xml version="1.0" encoding="utf-8"?>
<comments xmlns="http://schemas.openxmlformats.org/spreadsheetml/2006/main">
  <authors>
    <author>groub 4</author>
  </authors>
  <commentList>
    <comment ref="J34" authorId="0">
      <text>
        <r>
          <rPr>
            <b/>
            <sz val="8"/>
            <color indexed="81"/>
            <rFont val="Tahoma"/>
            <family val="2"/>
          </rPr>
          <t>groub 4:</t>
        </r>
        <r>
          <rPr>
            <sz val="8"/>
            <color indexed="81"/>
            <rFont val="Tahoma"/>
            <family val="2"/>
          </rPr>
          <t xml:space="preserve">
نتحقق أن قوة سبق الاجعاد ضمن المجال المسموح</t>
        </r>
      </text>
    </comment>
  </commentList>
</comments>
</file>

<file path=xl/comments4.xml><?xml version="1.0" encoding="utf-8"?>
<comments xmlns="http://schemas.openxmlformats.org/spreadsheetml/2006/main">
  <authors>
    <author>AIHAM ABBOUD</author>
  </authors>
  <commentList>
    <comment ref="A10" authorId="0">
      <text>
        <r>
          <rPr>
            <b/>
            <sz val="9"/>
            <color indexed="81"/>
            <rFont val="Tahoma"/>
            <family val="2"/>
          </rPr>
          <t>GROUB 4:</t>
        </r>
        <r>
          <rPr>
            <sz val="9"/>
            <color indexed="81"/>
            <rFont val="Tahoma"/>
            <family val="2"/>
          </rPr>
          <t xml:space="preserve">
المقطع الحرج</t>
        </r>
      </text>
    </comment>
  </commentList>
</comments>
</file>

<file path=xl/comments5.xml><?xml version="1.0" encoding="utf-8"?>
<comments xmlns="http://schemas.openxmlformats.org/spreadsheetml/2006/main">
  <authors>
    <author>AIHAM ABBOUD</author>
  </authors>
  <commentList>
    <comment ref="A10" authorId="0">
      <text>
        <r>
          <rPr>
            <b/>
            <sz val="9"/>
            <color indexed="81"/>
            <rFont val="Tahoma"/>
            <family val="2"/>
          </rPr>
          <t>GROUB 4:</t>
        </r>
        <r>
          <rPr>
            <sz val="9"/>
            <color indexed="81"/>
            <rFont val="Tahoma"/>
            <family val="2"/>
          </rPr>
          <t xml:space="preserve">
المقطع الحرج</t>
        </r>
      </text>
    </comment>
  </commentList>
</comments>
</file>

<file path=xl/comments6.xml><?xml version="1.0" encoding="utf-8"?>
<comments xmlns="http://schemas.openxmlformats.org/spreadsheetml/2006/main">
  <authors>
    <author>AIHAM ABBOUD</author>
  </authors>
  <commentList>
    <comment ref="A10" authorId="0">
      <text>
        <r>
          <rPr>
            <b/>
            <sz val="9"/>
            <color indexed="81"/>
            <rFont val="Tahoma"/>
            <family val="2"/>
          </rPr>
          <t>GROUB 4:</t>
        </r>
        <r>
          <rPr>
            <sz val="9"/>
            <color indexed="81"/>
            <rFont val="Tahoma"/>
            <family val="2"/>
          </rPr>
          <t xml:space="preserve">
المقطع الحرج</t>
        </r>
      </text>
    </comment>
  </commentList>
</comments>
</file>

<file path=xl/sharedStrings.xml><?xml version="1.0" encoding="utf-8"?>
<sst xmlns="http://schemas.openxmlformats.org/spreadsheetml/2006/main" count="739" uniqueCount="397">
  <si>
    <t>[KN/m']</t>
  </si>
  <si>
    <t>حمولة التغطية</t>
  </si>
  <si>
    <t>%</t>
  </si>
  <si>
    <t>إجهاد الشد البدائي</t>
  </si>
  <si>
    <t>m</t>
  </si>
  <si>
    <t>=</t>
  </si>
  <si>
    <t>الضياعات المباشرة</t>
  </si>
  <si>
    <t>الضياعات غير المباشرة</t>
  </si>
  <si>
    <t>عامل مرونة البيتون</t>
  </si>
  <si>
    <t>عامل مرونة الفولاذ المسبق الإجهاد</t>
  </si>
  <si>
    <t>μ</t>
  </si>
  <si>
    <t>معامل الاحتكاك بين الكابلات و الغينات</t>
  </si>
  <si>
    <t>K=</t>
  </si>
  <si>
    <t>معامل الاستقامة</t>
  </si>
  <si>
    <t>ضياعات الارتخاء</t>
  </si>
  <si>
    <t>[mm]</t>
  </si>
  <si>
    <t>تشوه المساند</t>
  </si>
  <si>
    <t>∞</t>
  </si>
  <si>
    <t>t=</t>
  </si>
  <si>
    <t>زمن الدراسة</t>
  </si>
  <si>
    <t>ماركة الاسمنت</t>
  </si>
  <si>
    <t>w/c</t>
  </si>
  <si>
    <t>نسبة الماء للاسمنت</t>
  </si>
  <si>
    <t>جاف</t>
  </si>
  <si>
    <t>نوع الجو</t>
  </si>
  <si>
    <t>day</t>
  </si>
  <si>
    <t>Ω</t>
  </si>
  <si>
    <t>mm</t>
  </si>
  <si>
    <t>المقطع</t>
  </si>
  <si>
    <t>x (m)</t>
  </si>
  <si>
    <t>h (m)</t>
  </si>
  <si>
    <t>tf (m)</t>
  </si>
  <si>
    <t>h-tf (m)</t>
  </si>
  <si>
    <t>bw (m)</t>
  </si>
  <si>
    <t>bf (m)</t>
  </si>
  <si>
    <t>بداية الجزء المتغيرالعطالة</t>
  </si>
  <si>
    <t>أبعاد المقاطع ومواصفاتها الهندسية</t>
  </si>
  <si>
    <t>ملاحظة : إذا كانت الأبعاد المفروضة خارج المجالات المسموحة لها يصبح لون الرقم أحمر وعندها يجب تغيير الفرض والتقيد بالمجال المسموح له</t>
  </si>
  <si>
    <t>الحمولات غير المصعدة</t>
  </si>
  <si>
    <t>الحمولة الحية</t>
  </si>
  <si>
    <t>P</t>
  </si>
  <si>
    <t>KN/m'</t>
  </si>
  <si>
    <t>الحمولات المصعدة</t>
  </si>
  <si>
    <t xml:space="preserve">المقطع </t>
  </si>
  <si>
    <t>الذراع</t>
  </si>
  <si>
    <t>Mg1(KN.m)</t>
  </si>
  <si>
    <t>مواصفات المقطع الحرج</t>
  </si>
  <si>
    <t>Mq(KN.m)</t>
  </si>
  <si>
    <t>Mqu/wc,bot</t>
  </si>
  <si>
    <t>Ac (m2)</t>
  </si>
  <si>
    <t>yc,top (m)</t>
  </si>
  <si>
    <t>yc,bot (m)</t>
  </si>
  <si>
    <t>Ic (m4)</t>
  </si>
  <si>
    <t>wc,top (m3)</t>
  </si>
  <si>
    <t>wc,bot (m3)</t>
  </si>
  <si>
    <t>الكبل يمر في مركز ثقل المقطع عند المسند</t>
  </si>
  <si>
    <t>باعتبار مبدأ الإحداثيات في منتصف مجاز الجائز</t>
  </si>
  <si>
    <t>yc,bot-0.15=0.475</t>
  </si>
  <si>
    <t>Y=a*X^2</t>
  </si>
  <si>
    <t>X(m)</t>
  </si>
  <si>
    <t>Y(m)</t>
  </si>
  <si>
    <t>مساحة التسليح التقريبية</t>
  </si>
  <si>
    <t>mm2</t>
  </si>
  <si>
    <t>مساحة الظفيرة الواحدة</t>
  </si>
  <si>
    <t>عدد الظفائر المطلوبة</t>
  </si>
  <si>
    <t>مساحة التسليح المطلوبة</t>
  </si>
  <si>
    <t xml:space="preserve">عدد الظفائر في الكبل </t>
  </si>
  <si>
    <t>عدد الظفائر الفعلية</t>
  </si>
  <si>
    <t>حساب مساحة التسليح مسبق الاجهاد بالطريفة التقريبية</t>
  </si>
  <si>
    <t xml:space="preserve">معادلة مسار الكبل هي معادلة قطع مكافئ </t>
  </si>
  <si>
    <t>L``` =</t>
  </si>
  <si>
    <r>
      <t>N/mm</t>
    </r>
    <r>
      <rPr>
        <b/>
        <i/>
        <vertAlign val="superscript"/>
        <sz val="12"/>
        <rFont val="Cambria"/>
        <family val="1"/>
        <scheme val="major"/>
      </rPr>
      <t xml:space="preserve">2 </t>
    </r>
  </si>
  <si>
    <r>
      <t>N/mm</t>
    </r>
    <r>
      <rPr>
        <b/>
        <i/>
        <vertAlign val="superscript"/>
        <sz val="12"/>
        <rFont val="Cambria"/>
        <family val="1"/>
        <scheme val="major"/>
      </rPr>
      <t>3</t>
    </r>
    <r>
      <rPr>
        <sz val="10"/>
        <rFont val="Arial"/>
        <family val="2"/>
      </rPr>
      <t/>
    </r>
  </si>
  <si>
    <r>
      <t>N/mm</t>
    </r>
    <r>
      <rPr>
        <b/>
        <i/>
        <vertAlign val="superscript"/>
        <sz val="12"/>
        <rFont val="Cambria"/>
        <family val="1"/>
        <scheme val="major"/>
      </rPr>
      <t>2</t>
    </r>
    <r>
      <rPr>
        <sz val="10"/>
        <rFont val="Arial"/>
        <family val="2"/>
      </rPr>
      <t/>
    </r>
  </si>
  <si>
    <r>
      <t>KN/mm</t>
    </r>
    <r>
      <rPr>
        <b/>
        <i/>
        <vertAlign val="superscript"/>
        <sz val="12"/>
        <rFont val="Cambria"/>
        <family val="1"/>
        <scheme val="major"/>
      </rPr>
      <t xml:space="preserve">2 </t>
    </r>
  </si>
  <si>
    <r>
      <t>KN/mm</t>
    </r>
    <r>
      <rPr>
        <b/>
        <i/>
        <vertAlign val="superscript"/>
        <sz val="12"/>
        <rFont val="Cambria"/>
        <family val="1"/>
        <scheme val="major"/>
      </rPr>
      <t>2</t>
    </r>
  </si>
  <si>
    <t>i =</t>
  </si>
  <si>
    <t>SEC</t>
  </si>
  <si>
    <t>SCE</t>
  </si>
  <si>
    <t>I</t>
  </si>
  <si>
    <t>II</t>
  </si>
  <si>
    <t>L``   =</t>
  </si>
  <si>
    <t>L`  =</t>
  </si>
  <si>
    <t xml:space="preserve">L = </t>
  </si>
  <si>
    <t>Beam Dim.</t>
  </si>
  <si>
    <t>Span :</t>
  </si>
  <si>
    <t>أبعاد الجائز :</t>
  </si>
  <si>
    <t>الطول الكلي :</t>
  </si>
  <si>
    <r>
      <t>الطول L</t>
    </r>
    <r>
      <rPr>
        <sz val="11"/>
        <color theme="1"/>
        <rFont val="Cambria"/>
        <family val="1"/>
        <scheme val="major"/>
      </rPr>
      <t>1 :</t>
    </r>
  </si>
  <si>
    <r>
      <rPr>
        <sz val="14"/>
        <color theme="1"/>
        <rFont val="Cambria"/>
        <family val="1"/>
        <scheme val="major"/>
      </rPr>
      <t>L</t>
    </r>
    <r>
      <rPr>
        <sz val="10"/>
        <color theme="1"/>
        <rFont val="Cambria"/>
        <family val="1"/>
        <scheme val="major"/>
      </rPr>
      <t>1</t>
    </r>
  </si>
  <si>
    <t>الميل العلوي :</t>
  </si>
  <si>
    <t>Upper slop :</t>
  </si>
  <si>
    <t>التباعد بين المقاطع :</t>
  </si>
  <si>
    <t>Sec. Distance</t>
  </si>
  <si>
    <t>الجزء الثابت المقطع</t>
  </si>
  <si>
    <t>Fixed Sec. Part</t>
  </si>
  <si>
    <t>معطيات التصميم :</t>
  </si>
  <si>
    <t>Design Data :</t>
  </si>
  <si>
    <t>الحمولة التغطية</t>
  </si>
  <si>
    <r>
      <t>f</t>
    </r>
    <r>
      <rPr>
        <i/>
        <vertAlign val="subscript"/>
        <sz val="14"/>
        <rFont val="Cambria"/>
        <family val="1"/>
        <scheme val="major"/>
      </rPr>
      <t xml:space="preserve">pk </t>
    </r>
  </si>
  <si>
    <r>
      <t>σ</t>
    </r>
    <r>
      <rPr>
        <i/>
        <vertAlign val="subscript"/>
        <sz val="14"/>
        <rFont val="Cambria"/>
        <family val="1"/>
        <scheme val="major"/>
      </rPr>
      <t xml:space="preserve">po </t>
    </r>
  </si>
  <si>
    <r>
      <t>∆</t>
    </r>
    <r>
      <rPr>
        <i/>
        <sz val="14"/>
        <rFont val="Cambria"/>
        <family val="1"/>
        <scheme val="major"/>
      </rPr>
      <t>σ</t>
    </r>
    <r>
      <rPr>
        <i/>
        <vertAlign val="subscript"/>
        <sz val="14"/>
        <rFont val="Cambria"/>
        <family val="1"/>
        <scheme val="major"/>
      </rPr>
      <t>1 = 10%*σp0</t>
    </r>
  </si>
  <si>
    <r>
      <t>∆</t>
    </r>
    <r>
      <rPr>
        <i/>
        <sz val="14"/>
        <rFont val="Cambria"/>
        <family val="1"/>
        <scheme val="major"/>
      </rPr>
      <t>σ</t>
    </r>
    <r>
      <rPr>
        <i/>
        <vertAlign val="subscript"/>
        <sz val="14"/>
        <rFont val="Cambria"/>
        <family val="1"/>
        <scheme val="major"/>
      </rPr>
      <t>2 = 20%*σp0</t>
    </r>
  </si>
  <si>
    <r>
      <t>σ</t>
    </r>
    <r>
      <rPr>
        <i/>
        <vertAlign val="subscript"/>
        <sz val="14"/>
        <rFont val="Cambria"/>
        <family val="1"/>
        <scheme val="major"/>
      </rPr>
      <t>w</t>
    </r>
  </si>
  <si>
    <r>
      <t>E</t>
    </r>
    <r>
      <rPr>
        <vertAlign val="subscript"/>
        <sz val="14"/>
        <rFont val="Cambria"/>
        <family val="1"/>
        <scheme val="major"/>
      </rPr>
      <t>c</t>
    </r>
  </si>
  <si>
    <r>
      <t>E</t>
    </r>
    <r>
      <rPr>
        <vertAlign val="subscript"/>
        <sz val="14"/>
        <rFont val="Cambria"/>
        <family val="1"/>
        <scheme val="major"/>
      </rPr>
      <t>S</t>
    </r>
  </si>
  <si>
    <r>
      <t>f</t>
    </r>
    <r>
      <rPr>
        <i/>
        <vertAlign val="subscript"/>
        <sz val="14"/>
        <rFont val="Cambria"/>
        <family val="1"/>
        <scheme val="major"/>
      </rPr>
      <t>y</t>
    </r>
  </si>
  <si>
    <r>
      <t>a</t>
    </r>
    <r>
      <rPr>
        <i/>
        <vertAlign val="subscript"/>
        <sz val="14"/>
        <rFont val="Cambria"/>
        <family val="1"/>
        <scheme val="major"/>
      </rPr>
      <t>S</t>
    </r>
  </si>
  <si>
    <t xml:space="preserve">إجهادات الانقطاع في الفولاذ المسبق الإجهاد </t>
  </si>
  <si>
    <t>المقاومة البيتونية المميزة الاسطوانية</t>
  </si>
  <si>
    <t>إجهادات الضغط المسموحة في مرحلة التنفيذ</t>
  </si>
  <si>
    <t>إجهادات الشد المسموحة في مرحلة التنفيذ</t>
  </si>
  <si>
    <t>إجهادات الضغط المسموحة في مرحلة الاسثمار</t>
  </si>
  <si>
    <t>إجهادات الشد المسموحة في مرحلة الاسثمار</t>
  </si>
  <si>
    <t xml:space="preserve">Kg/m3 </t>
  </si>
  <si>
    <r>
      <t>σ`</t>
    </r>
    <r>
      <rPr>
        <i/>
        <vertAlign val="subscript"/>
        <sz val="14"/>
        <rFont val="Cambria"/>
        <family val="1"/>
        <scheme val="major"/>
      </rPr>
      <t>t</t>
    </r>
    <r>
      <rPr>
        <i/>
        <vertAlign val="superscript"/>
        <sz val="14"/>
        <rFont val="Cambria"/>
        <family val="1"/>
        <scheme val="major"/>
      </rPr>
      <t xml:space="preserve">  </t>
    </r>
  </si>
  <si>
    <r>
      <t>σ`</t>
    </r>
    <r>
      <rPr>
        <i/>
        <vertAlign val="subscript"/>
        <sz val="14"/>
        <rFont val="Cambria"/>
        <family val="1"/>
        <scheme val="major"/>
      </rPr>
      <t>w</t>
    </r>
  </si>
  <si>
    <r>
      <t>h</t>
    </r>
    <r>
      <rPr>
        <sz val="12"/>
        <rFont val="Cambria"/>
        <family val="1"/>
        <scheme val="major"/>
      </rPr>
      <t>2</t>
    </r>
    <r>
      <rPr>
        <sz val="16"/>
        <rFont val="Cambria"/>
        <family val="1"/>
        <scheme val="major"/>
      </rPr>
      <t xml:space="preserve">   =</t>
    </r>
  </si>
  <si>
    <r>
      <t>t</t>
    </r>
    <r>
      <rPr>
        <sz val="12"/>
        <rFont val="Cambria"/>
        <family val="1"/>
        <scheme val="major"/>
      </rPr>
      <t>f</t>
    </r>
    <r>
      <rPr>
        <sz val="16"/>
        <rFont val="Cambria"/>
        <family val="1"/>
        <scheme val="major"/>
      </rPr>
      <t xml:space="preserve">   =</t>
    </r>
  </si>
  <si>
    <r>
      <t>h</t>
    </r>
    <r>
      <rPr>
        <sz val="12"/>
        <rFont val="Cambria"/>
        <family val="1"/>
        <scheme val="major"/>
      </rPr>
      <t>1</t>
    </r>
    <r>
      <rPr>
        <sz val="16"/>
        <rFont val="Cambria"/>
        <family val="1"/>
        <scheme val="major"/>
      </rPr>
      <t xml:space="preserve">   =</t>
    </r>
  </si>
  <si>
    <t>bw   =</t>
  </si>
  <si>
    <t xml:space="preserve">الحمولات </t>
  </si>
  <si>
    <t xml:space="preserve">نوع الحمولة </t>
  </si>
  <si>
    <t xml:space="preserve">الحمولة الكلية </t>
  </si>
  <si>
    <t>q</t>
  </si>
  <si>
    <t>معامل التصعيد</t>
  </si>
  <si>
    <t xml:space="preserve">الوزن الذاتي </t>
  </si>
  <si>
    <t>Mp  (KN.m)</t>
  </si>
  <si>
    <t>Mq  (KN.m)</t>
  </si>
  <si>
    <t>Mqu  (KN.m)</t>
  </si>
  <si>
    <t>Mg2  (KN.m)</t>
  </si>
  <si>
    <t>Mg1  (KN.m)</t>
  </si>
  <si>
    <t>Asp=Mmax/0.85*d*σ∞</t>
  </si>
  <si>
    <t>A (m2)</t>
  </si>
  <si>
    <t>الاجهاد في الليف في مرحلة التنفيذ</t>
  </si>
  <si>
    <t>الاجهاد في الليف في مرحلة الاستثمار</t>
  </si>
  <si>
    <t>الليف العلوي</t>
  </si>
  <si>
    <t>التحقق</t>
  </si>
  <si>
    <t xml:space="preserve">الليف السفلي </t>
  </si>
  <si>
    <t xml:space="preserve">الليف السفلي  </t>
  </si>
  <si>
    <t>gu1</t>
  </si>
  <si>
    <t>g1</t>
  </si>
  <si>
    <t>gu2</t>
  </si>
  <si>
    <t>g2</t>
  </si>
  <si>
    <t>Pu</t>
  </si>
  <si>
    <t>qu</t>
  </si>
  <si>
    <t>الواحدة</t>
  </si>
  <si>
    <t>نحدد مواصفات المقطع الحرج</t>
  </si>
  <si>
    <t>y</t>
  </si>
  <si>
    <t>N∞</t>
  </si>
  <si>
    <t>في مرحلة التنفيذ</t>
  </si>
  <si>
    <t>شد اليف العلوي</t>
  </si>
  <si>
    <t>-α N∞/Ac+α N∞ e/Wc,top -Mg1/W c,top≤σt</t>
  </si>
  <si>
    <t>Þ</t>
  </si>
  <si>
    <t>≤</t>
  </si>
  <si>
    <t>N∞ نحدد</t>
  </si>
  <si>
    <r>
      <t>σ</t>
    </r>
    <r>
      <rPr>
        <i/>
        <vertAlign val="subscript"/>
        <sz val="14"/>
        <rFont val="Cambria"/>
        <family val="1"/>
        <scheme val="major"/>
      </rPr>
      <t>t</t>
    </r>
    <r>
      <rPr>
        <i/>
        <vertAlign val="superscript"/>
        <sz val="14"/>
        <rFont val="Cambria"/>
        <family val="1"/>
        <scheme val="major"/>
      </rPr>
      <t xml:space="preserve">  </t>
    </r>
  </si>
  <si>
    <t>ضغط اليف السفلي</t>
  </si>
  <si>
    <t>في مرحلة الاستثمار</t>
  </si>
  <si>
    <t>ضغط اليف العلوي</t>
  </si>
  <si>
    <t>- N∞/Ac+ N∞ e/Wc,top -Mq/W c,top≥σ`w</t>
  </si>
  <si>
    <t>≥</t>
  </si>
  <si>
    <t>Kn</t>
  </si>
  <si>
    <t>شد اليف السفلي</t>
  </si>
  <si>
    <t>Asp=</t>
  </si>
  <si>
    <r>
      <t>mm</t>
    </r>
    <r>
      <rPr>
        <sz val="18"/>
        <color theme="1"/>
        <rFont val="Cambria"/>
        <family val="1"/>
        <scheme val="major"/>
      </rPr>
      <t>2</t>
    </r>
  </si>
  <si>
    <t>عدد الكابلات</t>
  </si>
  <si>
    <t>Asp الفعلية=</t>
  </si>
  <si>
    <t>Wc,top(m3)</t>
  </si>
  <si>
    <t>Wc,bot(m3)</t>
  </si>
  <si>
    <t>y c,bot(m)</t>
  </si>
  <si>
    <t>y(m)</t>
  </si>
  <si>
    <t>e(m)</t>
  </si>
  <si>
    <t>Mpa</t>
  </si>
  <si>
    <r>
      <rPr>
        <sz val="14"/>
        <rFont val="Bradley Hand ITC"/>
        <family val="4"/>
      </rPr>
      <t>∆</t>
    </r>
    <r>
      <rPr>
        <i/>
        <sz val="14"/>
        <rFont val="Cambria"/>
        <family val="1"/>
        <scheme val="major"/>
      </rPr>
      <t>σ</t>
    </r>
    <r>
      <rPr>
        <i/>
        <vertAlign val="subscript"/>
        <sz val="14"/>
        <rFont val="Cambria"/>
        <family val="1"/>
        <scheme val="major"/>
      </rPr>
      <t>r</t>
    </r>
  </si>
  <si>
    <r>
      <t>∆</t>
    </r>
    <r>
      <rPr>
        <i/>
        <sz val="14"/>
        <rFont val="Cambria"/>
        <family val="1"/>
        <scheme val="major"/>
      </rPr>
      <t>L</t>
    </r>
    <r>
      <rPr>
        <sz val="10"/>
        <rFont val="Arial"/>
        <family val="2"/>
      </rPr>
      <t/>
    </r>
  </si>
  <si>
    <t>: الضياع الناتج عن التشوه المرن للبيتون</t>
  </si>
  <si>
    <t>:الضياع الناتج عن تشوه وسائط التثبيت</t>
  </si>
  <si>
    <t>فتكون الضياعات المباشرة</t>
  </si>
  <si>
    <t xml:space="preserve">fc'  </t>
  </si>
  <si>
    <t xml:space="preserve">p  </t>
  </si>
  <si>
    <t xml:space="preserve">g </t>
  </si>
  <si>
    <t>الضياع الناتج عن ارتخاء الفولاذ:</t>
  </si>
  <si>
    <t>الضياع الناتج عن التقلص في البيتون:</t>
  </si>
  <si>
    <t>الجو</t>
  </si>
  <si>
    <t xml:space="preserve">السماكة المكافئة </t>
  </si>
  <si>
    <t>عمر البيتون</t>
  </si>
  <si>
    <t>3-7</t>
  </si>
  <si>
    <t>7-60</t>
  </si>
  <si>
    <t>&gt;60</t>
  </si>
  <si>
    <t>em&lt;200</t>
  </si>
  <si>
    <t>em&lt;600</t>
  </si>
  <si>
    <t>b</t>
  </si>
  <si>
    <t xml:space="preserve"> جاف</t>
  </si>
  <si>
    <t xml:space="preserve"> رطب</t>
  </si>
  <si>
    <t>kn</t>
  </si>
  <si>
    <t>kn.m</t>
  </si>
  <si>
    <t>فترة التحميل</t>
  </si>
  <si>
    <t>رطب</t>
  </si>
  <si>
    <t>درجة الرطوبة النسبية</t>
  </si>
  <si>
    <t>رطب جداً</t>
  </si>
  <si>
    <t>جاف جداً</t>
  </si>
  <si>
    <t>kc</t>
  </si>
  <si>
    <t>العمر عند التحميل</t>
  </si>
  <si>
    <t>360&lt;</t>
  </si>
  <si>
    <t>kd</t>
  </si>
  <si>
    <t>-</t>
  </si>
  <si>
    <t xml:space="preserve">كمية الاسمنت                                    w/c    </t>
  </si>
  <si>
    <t xml:space="preserve">فترة التحميل                                    em  </t>
  </si>
  <si>
    <t>أولا ً:الضياعات المباشرة</t>
  </si>
  <si>
    <t>ثانيا ً : الضياعات الغير المباشرة</t>
  </si>
  <si>
    <r>
      <t>: الضياع الناتج عن الاحتكاك</t>
    </r>
    <r>
      <rPr>
        <sz val="14"/>
        <color theme="1"/>
        <rFont val="Cambria"/>
        <family val="1"/>
        <scheme val="major"/>
      </rPr>
      <t xml:space="preserve"> </t>
    </r>
  </si>
  <si>
    <r>
      <rPr>
        <sz val="7"/>
        <color theme="1"/>
        <rFont val="Cambria"/>
        <family val="1"/>
        <scheme val="major"/>
      </rPr>
      <t xml:space="preserve"> </t>
    </r>
    <r>
      <rPr>
        <sz val="16"/>
        <color theme="1"/>
        <rFont val="Cambria"/>
        <family val="1"/>
        <scheme val="major"/>
      </rPr>
      <t>الضياعات الناتجة عن سيلان البيتون:</t>
    </r>
  </si>
  <si>
    <t>فتكون الضياعات الغير مباشرة</t>
  </si>
  <si>
    <t>ذ</t>
  </si>
  <si>
    <t xml:space="preserve">حساب الضياعات </t>
  </si>
  <si>
    <t>Dimensions of corrugated Duct  (  standard sizes  )</t>
  </si>
  <si>
    <t>tendon type 0.6'</t>
  </si>
  <si>
    <t>القطر الداخليI.D</t>
  </si>
  <si>
    <t>O.Dالقطر الخارجي</t>
  </si>
  <si>
    <t>min center distance</t>
  </si>
  <si>
    <t>support distances up to</t>
  </si>
  <si>
    <t>مساحة الأقنية المعدنية</t>
  </si>
  <si>
    <t>[m2]</t>
  </si>
  <si>
    <t>Dimensions of anchorage</t>
  </si>
  <si>
    <t>n</t>
  </si>
  <si>
    <t>A</t>
  </si>
  <si>
    <t>B</t>
  </si>
  <si>
    <t>C</t>
  </si>
  <si>
    <t>D</t>
  </si>
  <si>
    <t>حساب التسليح الإضافي الشاقولي</t>
  </si>
  <si>
    <t xml:space="preserve">حساب التسليح الإضافي </t>
  </si>
  <si>
    <t>عدد الكابلات بالاتجاه الشاقولي</t>
  </si>
  <si>
    <t>cables</t>
  </si>
  <si>
    <t>d1</t>
  </si>
  <si>
    <t>ارتفاع المقطع عند المسند</t>
  </si>
  <si>
    <t>h</t>
  </si>
  <si>
    <t>قوة الشد البدائية</t>
  </si>
  <si>
    <t>p0</t>
  </si>
  <si>
    <t>KN</t>
  </si>
  <si>
    <t>قوة الشد الشاقولية المطبقة على التسليح الإضافي الشاقولي</t>
  </si>
  <si>
    <t>Zv</t>
  </si>
  <si>
    <t>إجهاد الخضوع للفولاذ</t>
  </si>
  <si>
    <t>fy</t>
  </si>
  <si>
    <t>N/mm2</t>
  </si>
  <si>
    <t>مساحة التسليح المطلوبة(بالطريقة الحدية)</t>
  </si>
  <si>
    <t>AS</t>
  </si>
  <si>
    <t>قطر قضيب التسليح</t>
  </si>
  <si>
    <t>aS</t>
  </si>
  <si>
    <r>
      <t>mm</t>
    </r>
    <r>
      <rPr>
        <sz val="10"/>
        <rFont val="Arial"/>
        <family val="2"/>
      </rPr>
      <t/>
    </r>
  </si>
  <si>
    <t>T</t>
  </si>
  <si>
    <t>عدد القضبان اللازمة</t>
  </si>
  <si>
    <t>nS</t>
  </si>
  <si>
    <t>bar</t>
  </si>
  <si>
    <t>مسافة التغطية من كل جهة</t>
  </si>
  <si>
    <t>a</t>
  </si>
  <si>
    <t>حساب التسليح الإضافي الأفقي</t>
  </si>
  <si>
    <t>عدد الكابلات بالاتجاه الافقي</t>
  </si>
  <si>
    <t>عرض الممسك</t>
  </si>
  <si>
    <t>d2</t>
  </si>
  <si>
    <t>عرض المقطع عند المسند</t>
  </si>
  <si>
    <t>bf</t>
  </si>
  <si>
    <t>قوة الشد الأفقية المطبقة على التسليح الإضافي الأفقي</t>
  </si>
  <si>
    <t>Zh</t>
  </si>
  <si>
    <t>ارتفاع الممسك</t>
  </si>
  <si>
    <t>يكون التسليح الإضافي الأفقي عند كل ممسك</t>
  </si>
  <si>
    <t>يكون التسليح الإضافي الشاقولي عند كل ممسك</t>
  </si>
  <si>
    <t>بداية الجزء المتغيرالعطالة11`</t>
  </si>
  <si>
    <t>عمر البيتون عند تحميل</t>
  </si>
  <si>
    <t>Enter Dimentions in  (m)</t>
  </si>
  <si>
    <t>y =</t>
  </si>
  <si>
    <t>x =</t>
  </si>
  <si>
    <t>a =</t>
  </si>
  <si>
    <t>ارتفاع طبقة التغطية =</t>
  </si>
  <si>
    <t>e =</t>
  </si>
  <si>
    <t>yc,top(m) =</t>
  </si>
  <si>
    <t>y(m) =</t>
  </si>
  <si>
    <t>wc,top (m3) =</t>
  </si>
  <si>
    <t>wc,bot (m3) =</t>
  </si>
  <si>
    <t>Ac (m2) =</t>
  </si>
  <si>
    <t xml:space="preserve"> * N∞</t>
  </si>
  <si>
    <t>Ni =</t>
  </si>
  <si>
    <t>N∞ =</t>
  </si>
  <si>
    <t>n =</t>
  </si>
  <si>
    <t>nفعلية =</t>
  </si>
  <si>
    <t>N∞ فعلية  =</t>
  </si>
  <si>
    <t>Ni فعلية  =</t>
  </si>
  <si>
    <r>
      <t>L</t>
    </r>
    <r>
      <rPr>
        <sz val="10"/>
        <rFont val="Cambria"/>
        <family val="1"/>
        <scheme val="major"/>
      </rPr>
      <t>1</t>
    </r>
    <r>
      <rPr>
        <sz val="12"/>
        <rFont val="Cambria"/>
        <family val="1"/>
        <scheme val="major"/>
      </rPr>
      <t xml:space="preserve"> =</t>
    </r>
  </si>
  <si>
    <r>
      <t xml:space="preserve">e =yc,top-y </t>
    </r>
    <r>
      <rPr>
        <sz val="16"/>
        <rFont val="Symbol"/>
        <family val="1"/>
        <charset val="2"/>
      </rPr>
      <t>Þ</t>
    </r>
  </si>
  <si>
    <r>
      <rPr>
        <sz val="16"/>
        <rFont val="Calibri"/>
        <family val="2"/>
      </rPr>
      <t>α</t>
    </r>
    <r>
      <rPr>
        <sz val="16"/>
        <rFont val="Times New Roman"/>
        <family val="1"/>
      </rPr>
      <t>=Ni/N∞</t>
    </r>
  </si>
  <si>
    <r>
      <t>-α N∞/Ac+α N∞ e/Wc,bot -Mg1/W c,bot</t>
    </r>
    <r>
      <rPr>
        <sz val="16"/>
        <rFont val="Calibri"/>
        <family val="2"/>
      </rPr>
      <t xml:space="preserve">≥σ`t  </t>
    </r>
  </si>
  <si>
    <r>
      <t>-α N∞/Ac+α N∞ e/Wc,bot -Mg1/W c,bot</t>
    </r>
    <r>
      <rPr>
        <sz val="16"/>
        <rFont val="Calibri"/>
        <family val="2"/>
      </rPr>
      <t>≥</t>
    </r>
  </si>
  <si>
    <r>
      <t xml:space="preserve">Asp =N∞/σ∞ </t>
    </r>
    <r>
      <rPr>
        <sz val="16"/>
        <rFont val="Symbol"/>
        <family val="1"/>
        <charset val="2"/>
      </rPr>
      <t>Þ</t>
    </r>
  </si>
  <si>
    <t>حساب الضياعات في المقطع الحرج</t>
  </si>
  <si>
    <t xml:space="preserve">تحقيق الاجهادات الناظمية </t>
  </si>
  <si>
    <t xml:space="preserve"> يكون التسليح الإضافي الشاقولي        </t>
  </si>
  <si>
    <t xml:space="preserve"> يكون التسليح الإضافي الأفقي        </t>
  </si>
  <si>
    <t>حساب التمدد الطولي للكبلات</t>
  </si>
  <si>
    <t>عامل مرونة الفولاذ مسبق الإجهاد</t>
  </si>
  <si>
    <t>Es</t>
  </si>
  <si>
    <t>الطول الكلي للكبل</t>
  </si>
  <si>
    <t>Lc</t>
  </si>
  <si>
    <t xml:space="preserve">قوة سبق الإجهاد </t>
  </si>
  <si>
    <t>قوة سبق الإجهاد المتبقية بعد حذف الضياعات المباشرة</t>
  </si>
  <si>
    <t>Ni</t>
  </si>
  <si>
    <t>قوة سبق الإجهاد الوسطى</t>
  </si>
  <si>
    <t>Nm</t>
  </si>
  <si>
    <t>طول العنصر البيتوني</t>
  </si>
  <si>
    <t>L</t>
  </si>
  <si>
    <t>yc,sp</t>
  </si>
  <si>
    <t>مساحة المقطع البيتوني</t>
  </si>
  <si>
    <t>Ac</t>
  </si>
  <si>
    <t>عزم العطالة للمقطع البيتوني</t>
  </si>
  <si>
    <t>Ic</t>
  </si>
  <si>
    <t>m^4</t>
  </si>
  <si>
    <t>مساحة التسليح المختار</t>
  </si>
  <si>
    <t>As</t>
  </si>
  <si>
    <t>العزم الناتج عن القوة  Nm</t>
  </si>
  <si>
    <t>M</t>
  </si>
  <si>
    <t>[KN.m]</t>
  </si>
  <si>
    <t>العزم الناتج عن الوزن الذاتي</t>
  </si>
  <si>
    <t>Mg1</t>
  </si>
  <si>
    <t>التمدد الطولي في الحديد</t>
  </si>
  <si>
    <t>الطول الناتج عن انضغاط البيتون</t>
  </si>
  <si>
    <t>ΔL c,pm</t>
  </si>
  <si>
    <t xml:space="preserve">تمدد الطول بسبب العزم الناتج عن الوزن الذاتي </t>
  </si>
  <si>
    <t>ΔL c,g</t>
  </si>
  <si>
    <t>التمدد الطولي الكلي</t>
  </si>
  <si>
    <t>ΔL tot</t>
  </si>
  <si>
    <t>ΔL sp,Nm</t>
  </si>
  <si>
    <r>
      <t>KN/mm</t>
    </r>
    <r>
      <rPr>
        <vertAlign val="superscript"/>
        <sz val="14"/>
        <rFont val="Cambria"/>
        <family val="1"/>
        <scheme val="major"/>
      </rPr>
      <t>2</t>
    </r>
  </si>
  <si>
    <r>
      <t>m</t>
    </r>
    <r>
      <rPr>
        <vertAlign val="superscript"/>
        <sz val="14"/>
        <rFont val="Cambria"/>
        <family val="1"/>
        <scheme val="major"/>
      </rPr>
      <t>2</t>
    </r>
  </si>
  <si>
    <r>
      <t>mm</t>
    </r>
    <r>
      <rPr>
        <vertAlign val="superscript"/>
        <sz val="14"/>
        <rFont val="Cambria"/>
        <family val="1"/>
        <scheme val="major"/>
      </rPr>
      <t>2</t>
    </r>
  </si>
  <si>
    <r>
      <t>N</t>
    </r>
    <r>
      <rPr>
        <vertAlign val="subscript"/>
        <sz val="16"/>
        <color rgb="FF0070C0"/>
        <rFont val="Cambria"/>
        <family val="1"/>
        <scheme val="major"/>
      </rPr>
      <t>o</t>
    </r>
  </si>
  <si>
    <r>
      <t>E</t>
    </r>
    <r>
      <rPr>
        <vertAlign val="subscript"/>
        <sz val="16"/>
        <color rgb="FF0070C0"/>
        <rFont val="Cambria"/>
        <family val="1"/>
        <scheme val="major"/>
      </rPr>
      <t>C</t>
    </r>
  </si>
  <si>
    <t>عند المقطع الحرج</t>
  </si>
  <si>
    <t>عند المقطع وسط المجاز</t>
  </si>
  <si>
    <t xml:space="preserve">التمدد الناتج عن ازلاق مخاريط الظفائر </t>
  </si>
  <si>
    <r>
      <t>L</t>
    </r>
    <r>
      <rPr>
        <sz val="12"/>
        <color rgb="FF0070C0"/>
        <rFont val="Cambria"/>
        <family val="1"/>
        <scheme val="major"/>
      </rPr>
      <t>si</t>
    </r>
  </si>
  <si>
    <t>الطول الذي سيضاف للطول الكلي للكبل</t>
  </si>
  <si>
    <t xml:space="preserve">التمدد الطولي للكبل </t>
  </si>
  <si>
    <t>التمدد الطولي</t>
  </si>
  <si>
    <t>ΔLe</t>
  </si>
  <si>
    <t>ΔL</t>
  </si>
  <si>
    <t>عمر البيتون عند الشد</t>
  </si>
  <si>
    <t xml:space="preserve">عمق منطقة الضغط في مرحلة الانكسار </t>
  </si>
  <si>
    <t>نفرض التسليح وصل لسيلان</t>
  </si>
  <si>
    <t>رقم المقطع</t>
  </si>
  <si>
    <t>العزم المطبق Mur</t>
  </si>
  <si>
    <t>عمق منطقة الضغط</t>
  </si>
  <si>
    <t>موقع المحور المحايد</t>
  </si>
  <si>
    <t>عمق منطقة الضغط المصحح</t>
  </si>
  <si>
    <t>تحقق من الوصول للسيلان</t>
  </si>
  <si>
    <t>عمق منطقة الضغط في مرحلة الانكسار</t>
  </si>
  <si>
    <t>العزم المقاوم Mua</t>
  </si>
  <si>
    <t>تحقيق المقطع</t>
  </si>
  <si>
    <t>تحديد المقطع الحرج</t>
  </si>
  <si>
    <t>المقطع الحرج</t>
  </si>
  <si>
    <r>
      <t>b</t>
    </r>
    <r>
      <rPr>
        <sz val="12"/>
        <rFont val="Cambria"/>
        <family val="1"/>
        <scheme val="major"/>
      </rPr>
      <t xml:space="preserve">f   </t>
    </r>
    <r>
      <rPr>
        <sz val="16"/>
        <rFont val="Cambria"/>
        <family val="1"/>
        <scheme val="major"/>
      </rPr>
      <t xml:space="preserve">= </t>
    </r>
  </si>
  <si>
    <t>تحقيق العزم في مرحلة الانكسار</t>
  </si>
  <si>
    <t xml:space="preserve">رقم المقطع </t>
  </si>
  <si>
    <t>Qu</t>
  </si>
  <si>
    <t>d(mm)</t>
  </si>
  <si>
    <t>bw(mm)</t>
  </si>
  <si>
    <t>tu</t>
  </si>
  <si>
    <t>tcu</t>
  </si>
  <si>
    <t>نوع التسليح</t>
  </si>
  <si>
    <t>ast(mm2)</t>
  </si>
  <si>
    <t>f</t>
  </si>
  <si>
    <t>s =</t>
  </si>
  <si>
    <t>عدد الأساور</t>
  </si>
  <si>
    <t xml:space="preserve">تحقيق القص في مرحلة الانكسار </t>
  </si>
  <si>
    <t>أبعاد المقاطع ومواصفاتها الهندسية قبل الحقن</t>
  </si>
  <si>
    <t>مساحة اقنية</t>
  </si>
  <si>
    <t>Ac,n (m2)</t>
  </si>
  <si>
    <t>ycn,top (m)</t>
  </si>
  <si>
    <t>ycn,bot (m)</t>
  </si>
  <si>
    <t>I c,net (m4)</t>
  </si>
  <si>
    <t>wcn,top (m3)</t>
  </si>
  <si>
    <t>wcn,bot (m3)</t>
  </si>
  <si>
    <t>الخواص الهندسية الصافية</t>
  </si>
  <si>
    <t>أبعاد المقاطع ومواصفاتها الهندسية بعد  الحقن</t>
  </si>
  <si>
    <t>Asp(m2)</t>
  </si>
  <si>
    <t>Ac.i</t>
  </si>
  <si>
    <t>yci,top (m)</t>
  </si>
  <si>
    <t>yci,bot (m)</t>
  </si>
  <si>
    <t>Ic,i</t>
  </si>
  <si>
    <t>wci,top (m3)</t>
  </si>
  <si>
    <t>wci,bot (m3)</t>
  </si>
  <si>
    <t>kg/m</t>
  </si>
  <si>
    <t>weight</t>
  </si>
  <si>
    <t xml:space="preserve">وزن الظفيرة </t>
  </si>
  <si>
    <t>تحقيق الاجهادات الناظمية  مرحلة التنفيذ</t>
  </si>
  <si>
    <r>
      <t>e</t>
    </r>
    <r>
      <rPr>
        <sz val="9"/>
        <color rgb="FFFF0000"/>
        <rFont val="Cambria"/>
        <family val="1"/>
        <scheme val="major"/>
      </rPr>
      <t>m</t>
    </r>
  </si>
  <si>
    <r>
      <t>k</t>
    </r>
    <r>
      <rPr>
        <sz val="11"/>
        <color rgb="FFFF0000"/>
        <rFont val="Cambria"/>
        <family val="1"/>
        <scheme val="major"/>
      </rPr>
      <t>e</t>
    </r>
  </si>
  <si>
    <t>الحمولات الجديدة في مرحلة الاستثمار</t>
  </si>
  <si>
    <t>ثانيا : الضياعات الغير المباشرة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</si>
</sst>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6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Cambria"/>
      <family val="1"/>
      <scheme val="major"/>
    </font>
    <font>
      <sz val="12"/>
      <name val="Cambria"/>
      <family val="1"/>
      <scheme val="major"/>
    </font>
    <font>
      <b/>
      <i/>
      <sz val="12"/>
      <name val="Cambria"/>
      <family val="1"/>
      <scheme val="major"/>
    </font>
    <font>
      <b/>
      <i/>
      <vertAlign val="superscript"/>
      <sz val="12"/>
      <name val="Cambria"/>
      <family val="1"/>
      <scheme val="major"/>
    </font>
    <font>
      <b/>
      <sz val="12"/>
      <name val="Cambria"/>
      <family val="1"/>
      <scheme val="major"/>
    </font>
    <font>
      <vertAlign val="subscript"/>
      <sz val="12"/>
      <name val="Cambria"/>
      <family val="1"/>
      <scheme val="major"/>
    </font>
    <font>
      <sz val="12"/>
      <color rgb="FFFF0000"/>
      <name val="Cambria"/>
      <family val="1"/>
      <scheme val="major"/>
    </font>
    <font>
      <sz val="11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sz val="14"/>
      <color theme="1"/>
      <name val="Cambria"/>
      <family val="1"/>
      <scheme val="major"/>
    </font>
    <font>
      <sz val="14"/>
      <name val="Cambria"/>
      <family val="1"/>
      <scheme val="major"/>
    </font>
    <font>
      <i/>
      <vertAlign val="subscript"/>
      <sz val="14"/>
      <name val="Cambria"/>
      <family val="1"/>
      <scheme val="major"/>
    </font>
    <font>
      <i/>
      <sz val="14"/>
      <name val="Cambria"/>
      <family val="1"/>
      <scheme val="major"/>
    </font>
    <font>
      <i/>
      <vertAlign val="superscript"/>
      <sz val="14"/>
      <name val="Cambria"/>
      <family val="1"/>
      <scheme val="major"/>
    </font>
    <font>
      <vertAlign val="subscript"/>
      <sz val="14"/>
      <name val="Cambria"/>
      <family val="1"/>
      <scheme val="major"/>
    </font>
    <font>
      <sz val="10.5"/>
      <color theme="1"/>
      <name val="Cambria"/>
      <family val="1"/>
      <scheme val="major"/>
    </font>
    <font>
      <sz val="16"/>
      <name val="Cambria"/>
      <family val="1"/>
      <scheme val="major"/>
    </font>
    <font>
      <b/>
      <i/>
      <sz val="12"/>
      <color indexed="12"/>
      <name val="Cambria"/>
      <family val="1"/>
      <scheme val="major"/>
    </font>
    <font>
      <sz val="16"/>
      <color theme="1"/>
      <name val="Times New Roman"/>
      <family val="1"/>
    </font>
    <font>
      <sz val="16"/>
      <color rgb="FFC00000"/>
      <name val="Cambria"/>
      <family val="1"/>
      <scheme val="major"/>
    </font>
    <font>
      <sz val="16"/>
      <color theme="1"/>
      <name val="Cambria"/>
      <family val="1"/>
      <scheme val="major"/>
    </font>
    <font>
      <sz val="20"/>
      <color rgb="FFFF0000"/>
      <name val="Cambria"/>
      <family val="1"/>
      <scheme val="major"/>
    </font>
    <font>
      <sz val="16"/>
      <color rgb="FFFF0000"/>
      <name val="Cambria"/>
      <family val="1"/>
      <scheme val="major"/>
    </font>
    <font>
      <sz val="16"/>
      <color rgb="FFFF0000"/>
      <name val="Times New Roman"/>
      <family val="1"/>
    </font>
    <font>
      <sz val="18"/>
      <color theme="1"/>
      <name val="Cambria"/>
      <family val="1"/>
      <scheme val="maj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Bradley Hand ITC"/>
      <family val="4"/>
    </font>
    <font>
      <sz val="12"/>
      <name val="Calibri"/>
      <family val="2"/>
    </font>
    <font>
      <sz val="7"/>
      <color theme="1"/>
      <name val="Cambria"/>
      <family val="1"/>
      <scheme val="major"/>
    </font>
    <font>
      <sz val="18"/>
      <color rgb="FFFF0000"/>
      <name val="Cambria"/>
      <family val="1"/>
      <scheme val="major"/>
    </font>
    <font>
      <sz val="11"/>
      <name val="Calibri"/>
      <family val="2"/>
      <scheme val="minor"/>
    </font>
    <font>
      <sz val="16"/>
      <color rgb="FF0070C0"/>
      <name val="Cambria"/>
      <family val="1"/>
      <scheme val="major"/>
    </font>
    <font>
      <sz val="12"/>
      <color rgb="FF0070C0"/>
      <name val="Cambria"/>
      <family val="1"/>
      <scheme val="major"/>
    </font>
    <font>
      <sz val="16"/>
      <color rgb="FF0070C0"/>
      <name val="Times New Roman"/>
      <family val="1"/>
    </font>
    <font>
      <sz val="16"/>
      <name val="Symbol"/>
      <family val="1"/>
      <charset val="2"/>
    </font>
    <font>
      <sz val="16"/>
      <color rgb="FFFF0000"/>
      <name val="Symbol"/>
      <family val="1"/>
      <charset val="2"/>
    </font>
    <font>
      <sz val="14"/>
      <color rgb="FFFF0000"/>
      <name val="Cambria"/>
      <family val="1"/>
      <scheme val="major"/>
    </font>
    <font>
      <sz val="10"/>
      <name val="Cambria"/>
      <family val="1"/>
      <scheme val="major"/>
    </font>
    <font>
      <sz val="16"/>
      <name val="Times New Roman"/>
      <family val="1"/>
    </font>
    <font>
      <sz val="16"/>
      <name val="Calibri"/>
      <family val="2"/>
    </font>
    <font>
      <sz val="22"/>
      <color rgb="FFFF0000"/>
      <name val="Cambria"/>
      <family val="1"/>
      <scheme val="major"/>
    </font>
    <font>
      <b/>
      <i/>
      <sz val="18"/>
      <color indexed="12"/>
      <name val="Cambria"/>
      <family val="1"/>
      <scheme val="major"/>
    </font>
    <font>
      <b/>
      <i/>
      <sz val="14"/>
      <color indexed="12"/>
      <name val="Cambria"/>
      <family val="1"/>
      <scheme val="major"/>
    </font>
    <font>
      <b/>
      <i/>
      <sz val="14"/>
      <color indexed="48"/>
      <name val="Cambria"/>
      <family val="1"/>
      <scheme val="major"/>
    </font>
    <font>
      <vertAlign val="superscript"/>
      <sz val="14"/>
      <name val="Cambria"/>
      <family val="1"/>
      <scheme val="major"/>
    </font>
    <font>
      <vertAlign val="subscript"/>
      <sz val="16"/>
      <color rgb="FF0070C0"/>
      <name val="Cambria"/>
      <family val="1"/>
      <scheme val="major"/>
    </font>
    <font>
      <sz val="24"/>
      <color rgb="FFFF0000"/>
      <name val="Cambria"/>
      <family val="1"/>
      <scheme val="major"/>
    </font>
    <font>
      <b/>
      <sz val="14"/>
      <name val="Cambria"/>
      <family val="1"/>
      <scheme val="major"/>
    </font>
    <font>
      <sz val="11"/>
      <color rgb="FFFF0000"/>
      <name val="Cambria"/>
      <family val="1"/>
      <scheme val="major"/>
    </font>
    <font>
      <sz val="10"/>
      <color rgb="FFFF0000"/>
      <name val="Cambria"/>
      <family val="1"/>
      <scheme val="major"/>
    </font>
    <font>
      <sz val="8"/>
      <color rgb="FFFF0000"/>
      <name val="Cambria"/>
      <family val="1"/>
      <scheme val="major"/>
    </font>
    <font>
      <sz val="9"/>
      <color rgb="FFFF0000"/>
      <name val="Cambria"/>
      <family val="1"/>
      <scheme val="major"/>
    </font>
    <font>
      <sz val="16"/>
      <color rgb="FFCDCDCD"/>
      <name val="Cambria"/>
      <family val="1"/>
      <scheme val="major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93"/>
        <bgColor indexed="64"/>
      </patternFill>
    </fill>
    <fill>
      <patternFill patternType="solid">
        <fgColor rgb="FFFA6F60"/>
        <bgColor indexed="64"/>
      </patternFill>
    </fill>
    <fill>
      <patternFill patternType="solid">
        <fgColor rgb="FF95B4E7"/>
        <bgColor indexed="64"/>
      </patternFill>
    </fill>
    <fill>
      <patternFill patternType="solid">
        <fgColor rgb="FFCDCDCD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32" fillId="0" borderId="0" applyFont="0" applyFill="0" applyBorder="0" applyAlignment="0" applyProtection="0"/>
  </cellStyleXfs>
  <cellXfs count="574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8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  <protection hidden="1"/>
    </xf>
    <xf numFmtId="2" fontId="6" fillId="0" borderId="0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NumberFormat="1" applyFont="1" applyFill="1" applyBorder="1" applyAlignment="1" applyProtection="1">
      <alignment horizontal="center" vertical="center"/>
      <protection locked="0"/>
    </xf>
    <xf numFmtId="164" fontId="6" fillId="0" borderId="0" xfId="0" applyNumberFormat="1" applyFont="1" applyFill="1" applyBorder="1" applyAlignment="1" applyProtection="1">
      <alignment horizontal="center" vertical="center"/>
      <protection hidden="1"/>
    </xf>
    <xf numFmtId="0" fontId="2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8" fillId="2" borderId="0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4" fillId="5" borderId="10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5" fillId="5" borderId="4" xfId="0" applyFont="1" applyFill="1" applyBorder="1" applyAlignment="1" applyProtection="1">
      <alignment horizontal="center" vertical="center"/>
      <protection locked="0"/>
    </xf>
    <xf numFmtId="0" fontId="5" fillId="5" borderId="10" xfId="0" applyFont="1" applyFill="1" applyBorder="1" applyAlignment="1">
      <alignment horizontal="center" vertical="center"/>
    </xf>
    <xf numFmtId="0" fontId="24" fillId="5" borderId="1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20" fillId="0" borderId="1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6" fillId="4" borderId="25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165" fontId="4" fillId="4" borderId="14" xfId="0" applyNumberFormat="1" applyFont="1" applyFill="1" applyBorder="1" applyAlignment="1">
      <alignment horizontal="center" vertical="center"/>
    </xf>
    <xf numFmtId="0" fontId="10" fillId="4" borderId="24" xfId="0" applyFont="1" applyFill="1" applyBorder="1" applyAlignment="1">
      <alignment horizontal="center" vertical="center"/>
    </xf>
    <xf numFmtId="0" fontId="25" fillId="4" borderId="29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0" fontId="24" fillId="0" borderId="34" xfId="0" applyFont="1" applyBorder="1" applyAlignment="1">
      <alignment horizontal="center" vertical="center"/>
    </xf>
    <xf numFmtId="2" fontId="4" fillId="5" borderId="12" xfId="0" applyNumberFormat="1" applyFont="1" applyFill="1" applyBorder="1" applyAlignment="1">
      <alignment horizontal="center"/>
    </xf>
    <xf numFmtId="0" fontId="2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4" fillId="5" borderId="4" xfId="0" applyFont="1" applyFill="1" applyBorder="1" applyAlignment="1" applyProtection="1">
      <alignment horizontal="center" vertical="center"/>
      <protection locked="0"/>
    </xf>
    <xf numFmtId="0" fontId="2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vertical="center" readingOrder="2"/>
    </xf>
    <xf numFmtId="0" fontId="2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2" fontId="24" fillId="0" borderId="0" xfId="0" applyNumberFormat="1" applyFont="1" applyBorder="1" applyAlignment="1">
      <alignment horizontal="center" vertical="center"/>
    </xf>
    <xf numFmtId="0" fontId="11" fillId="3" borderId="47" xfId="0" applyFont="1" applyFill="1" applyBorder="1" applyAlignment="1">
      <alignment horizontal="center" vertical="center"/>
    </xf>
    <xf numFmtId="0" fontId="24" fillId="3" borderId="12" xfId="0" applyFont="1" applyFill="1" applyBorder="1" applyAlignment="1">
      <alignment horizontal="center" vertical="center"/>
    </xf>
    <xf numFmtId="0" fontId="24" fillId="3" borderId="3" xfId="0" applyFont="1" applyFill="1" applyBorder="1" applyAlignment="1">
      <alignment horizontal="center" vertical="center"/>
    </xf>
    <xf numFmtId="0" fontId="11" fillId="3" borderId="46" xfId="0" applyFont="1" applyFill="1" applyBorder="1" applyAlignment="1">
      <alignment horizontal="center" vertical="center"/>
    </xf>
    <xf numFmtId="0" fontId="24" fillId="3" borderId="47" xfId="0" applyFont="1" applyFill="1" applyBorder="1" applyAlignment="1">
      <alignment horizontal="center" vertical="center"/>
    </xf>
    <xf numFmtId="0" fontId="24" fillId="3" borderId="48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10" fontId="24" fillId="3" borderId="12" xfId="1" applyNumberFormat="1" applyFont="1" applyFill="1" applyBorder="1" applyAlignment="1">
      <alignment horizontal="center" vertical="center"/>
    </xf>
    <xf numFmtId="0" fontId="24" fillId="7" borderId="4" xfId="0" applyFont="1" applyFill="1" applyBorder="1" applyAlignment="1">
      <alignment horizontal="center" vertical="center"/>
    </xf>
    <xf numFmtId="0" fontId="11" fillId="8" borderId="46" xfId="0" applyFont="1" applyFill="1" applyBorder="1" applyAlignment="1">
      <alignment horizontal="center" vertical="center"/>
    </xf>
    <xf numFmtId="0" fontId="24" fillId="8" borderId="47" xfId="0" applyFont="1" applyFill="1" applyBorder="1" applyAlignment="1">
      <alignment horizontal="center" vertical="center"/>
    </xf>
    <xf numFmtId="0" fontId="24" fillId="8" borderId="48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0" fontId="24" fillId="8" borderId="12" xfId="0" applyFont="1" applyFill="1" applyBorder="1" applyAlignment="1">
      <alignment horizontal="center" vertical="center"/>
    </xf>
    <xf numFmtId="0" fontId="11" fillId="8" borderId="12" xfId="0" applyFont="1" applyFill="1" applyBorder="1" applyAlignment="1">
      <alignment horizontal="center" vertical="center"/>
    </xf>
    <xf numFmtId="0" fontId="24" fillId="8" borderId="1" xfId="0" applyFont="1" applyFill="1" applyBorder="1" applyAlignment="1">
      <alignment horizontal="center" vertical="center"/>
    </xf>
    <xf numFmtId="0" fontId="24" fillId="8" borderId="3" xfId="0" applyFont="1" applyFill="1" applyBorder="1" applyAlignment="1">
      <alignment horizontal="center" vertical="center"/>
    </xf>
    <xf numFmtId="0" fontId="24" fillId="8" borderId="46" xfId="0" applyFont="1" applyFill="1" applyBorder="1" applyAlignment="1">
      <alignment horizontal="center" vertical="center"/>
    </xf>
    <xf numFmtId="2" fontId="24" fillId="8" borderId="12" xfId="0" applyNumberFormat="1" applyFont="1" applyFill="1" applyBorder="1" applyAlignment="1">
      <alignment horizontal="center" vertical="center"/>
    </xf>
    <xf numFmtId="10" fontId="24" fillId="8" borderId="12" xfId="1" applyNumberFormat="1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1" fillId="8" borderId="12" xfId="0" applyFont="1" applyFill="1" applyBorder="1" applyAlignment="1">
      <alignment horizontal="center" vertical="center"/>
    </xf>
    <xf numFmtId="0" fontId="24" fillId="8" borderId="47" xfId="0" applyFont="1" applyFill="1" applyBorder="1" applyAlignment="1">
      <alignment horizontal="center" vertical="center"/>
    </xf>
    <xf numFmtId="0" fontId="24" fillId="8" borderId="48" xfId="0" applyFont="1" applyFill="1" applyBorder="1" applyAlignment="1">
      <alignment horizontal="center" vertical="center"/>
    </xf>
    <xf numFmtId="0" fontId="24" fillId="3" borderId="47" xfId="0" applyFont="1" applyFill="1" applyBorder="1" applyAlignment="1">
      <alignment horizontal="center" vertical="center"/>
    </xf>
    <xf numFmtId="0" fontId="24" fillId="3" borderId="48" xfId="0" applyFont="1" applyFill="1" applyBorder="1" applyAlignment="1">
      <alignment horizontal="center" vertical="center"/>
    </xf>
    <xf numFmtId="0" fontId="24" fillId="8" borderId="12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/>
    </xf>
    <xf numFmtId="0" fontId="24" fillId="3" borderId="12" xfId="0" applyFont="1" applyFill="1" applyBorder="1" applyAlignment="1">
      <alignment horizontal="center" vertical="center"/>
    </xf>
    <xf numFmtId="0" fontId="24" fillId="3" borderId="3" xfId="0" applyFont="1" applyFill="1" applyBorder="1" applyAlignment="1">
      <alignment horizontal="center" vertical="center"/>
    </xf>
    <xf numFmtId="0" fontId="24" fillId="9" borderId="1" xfId="0" applyFont="1" applyFill="1" applyBorder="1" applyAlignment="1">
      <alignment horizontal="center" vertical="center"/>
    </xf>
    <xf numFmtId="10" fontId="24" fillId="9" borderId="12" xfId="0" applyNumberFormat="1" applyFont="1" applyFill="1" applyBorder="1" applyAlignment="1">
      <alignment horizontal="center" vertical="center"/>
    </xf>
    <xf numFmtId="0" fontId="24" fillId="9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3" borderId="1" xfId="0" applyFont="1" applyFill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2" fontId="24" fillId="9" borderId="6" xfId="0" applyNumberFormat="1" applyFont="1" applyFill="1" applyBorder="1" applyAlignment="1">
      <alignment horizontal="center" vertical="center"/>
    </xf>
    <xf numFmtId="0" fontId="10" fillId="7" borderId="4" xfId="0" applyFont="1" applyFill="1" applyBorder="1" applyAlignment="1">
      <alignment horizontal="center" vertical="center"/>
    </xf>
    <xf numFmtId="9" fontId="4" fillId="12" borderId="10" xfId="0" applyNumberFormat="1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20" fillId="10" borderId="4" xfId="0" applyFont="1" applyFill="1" applyBorder="1" applyAlignment="1">
      <alignment horizontal="center" vertical="center"/>
    </xf>
    <xf numFmtId="0" fontId="26" fillId="11" borderId="23" xfId="0" applyFont="1" applyFill="1" applyBorder="1" applyAlignment="1">
      <alignment horizontal="center" vertical="center"/>
    </xf>
    <xf numFmtId="0" fontId="26" fillId="11" borderId="13" xfId="0" applyFont="1" applyFill="1" applyBorder="1" applyAlignment="1">
      <alignment horizontal="center" vertical="center"/>
    </xf>
    <xf numFmtId="0" fontId="26" fillId="11" borderId="1" xfId="0" applyFont="1" applyFill="1" applyBorder="1" applyAlignment="1">
      <alignment horizontal="center" vertical="center"/>
    </xf>
    <xf numFmtId="0" fontId="26" fillId="11" borderId="24" xfId="0" applyFont="1" applyFill="1" applyBorder="1" applyAlignment="1">
      <alignment horizontal="center" vertical="center"/>
    </xf>
    <xf numFmtId="0" fontId="26" fillId="11" borderId="25" xfId="0" applyFont="1" applyFill="1" applyBorder="1" applyAlignment="1">
      <alignment horizontal="center" vertical="center"/>
    </xf>
    <xf numFmtId="0" fontId="10" fillId="11" borderId="23" xfId="0" applyFont="1" applyFill="1" applyBorder="1" applyAlignment="1">
      <alignment horizontal="center" vertical="center"/>
    </xf>
    <xf numFmtId="0" fontId="10" fillId="11" borderId="24" xfId="0" applyFont="1" applyFill="1" applyBorder="1" applyAlignment="1">
      <alignment horizontal="center" vertical="center"/>
    </xf>
    <xf numFmtId="0" fontId="10" fillId="11" borderId="25" xfId="0" applyFont="1" applyFill="1" applyBorder="1" applyAlignment="1">
      <alignment horizontal="center" vertical="center"/>
    </xf>
    <xf numFmtId="0" fontId="39" fillId="11" borderId="13" xfId="0" applyFont="1" applyFill="1" applyBorder="1" applyAlignment="1">
      <alignment horizontal="center" vertical="center"/>
    </xf>
    <xf numFmtId="0" fontId="39" fillId="11" borderId="16" xfId="0" applyFont="1" applyFill="1" applyBorder="1" applyAlignment="1">
      <alignment horizontal="center" vertical="center"/>
    </xf>
    <xf numFmtId="165" fontId="4" fillId="3" borderId="14" xfId="0" applyNumberFormat="1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165" fontId="4" fillId="3" borderId="26" xfId="0" applyNumberFormat="1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22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2" fontId="4" fillId="3" borderId="12" xfId="0" applyNumberFormat="1" applyFont="1" applyFill="1" applyBorder="1" applyAlignment="1">
      <alignment horizontal="center"/>
    </xf>
    <xf numFmtId="0" fontId="4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164" fontId="20" fillId="3" borderId="1" xfId="0" applyNumberFormat="1" applyFont="1" applyFill="1" applyBorder="1" applyAlignment="1">
      <alignment horizontal="center" vertical="center"/>
    </xf>
    <xf numFmtId="2" fontId="20" fillId="3" borderId="1" xfId="0" applyNumberFormat="1" applyFont="1" applyFill="1" applyBorder="1" applyAlignment="1">
      <alignment horizontal="center" vertical="center"/>
    </xf>
    <xf numFmtId="165" fontId="20" fillId="3" borderId="1" xfId="0" applyNumberFormat="1" applyFont="1" applyFill="1" applyBorder="1" applyAlignment="1">
      <alignment horizontal="center" vertical="center"/>
    </xf>
    <xf numFmtId="166" fontId="20" fillId="3" borderId="1" xfId="0" applyNumberFormat="1" applyFont="1" applyFill="1" applyBorder="1" applyAlignment="1">
      <alignment horizontal="center" vertical="center"/>
    </xf>
    <xf numFmtId="166" fontId="20" fillId="3" borderId="14" xfId="0" applyNumberFormat="1" applyFont="1" applyFill="1" applyBorder="1" applyAlignment="1">
      <alignment horizontal="center" vertical="center"/>
    </xf>
    <xf numFmtId="0" fontId="38" fillId="3" borderId="13" xfId="0" applyFont="1" applyFill="1" applyBorder="1" applyAlignment="1">
      <alignment horizontal="center" vertical="center"/>
    </xf>
    <xf numFmtId="0" fontId="38" fillId="3" borderId="16" xfId="0" applyFont="1" applyFill="1" applyBorder="1" applyAlignment="1">
      <alignment horizontal="center" vertical="center" wrapText="1"/>
    </xf>
    <xf numFmtId="2" fontId="5" fillId="3" borderId="7" xfId="0" applyNumberFormat="1" applyFont="1" applyFill="1" applyBorder="1" applyAlignment="1">
      <alignment horizontal="center" vertical="center"/>
    </xf>
    <xf numFmtId="0" fontId="24" fillId="3" borderId="13" xfId="0" applyFont="1" applyFill="1" applyBorder="1" applyAlignment="1">
      <alignment horizontal="center" vertical="center"/>
    </xf>
    <xf numFmtId="165" fontId="24" fillId="3" borderId="1" xfId="0" applyNumberFormat="1" applyFont="1" applyFill="1" applyBorder="1" applyAlignment="1">
      <alignment horizontal="center" vertical="center"/>
    </xf>
    <xf numFmtId="0" fontId="38" fillId="3" borderId="1" xfId="0" applyFont="1" applyFill="1" applyBorder="1" applyAlignment="1">
      <alignment horizontal="center" vertical="center"/>
    </xf>
    <xf numFmtId="0" fontId="24" fillId="3" borderId="16" xfId="0" applyFont="1" applyFill="1" applyBorder="1" applyAlignment="1">
      <alignment horizontal="center" vertical="center"/>
    </xf>
    <xf numFmtId="165" fontId="24" fillId="3" borderId="17" xfId="0" applyNumberFormat="1" applyFont="1" applyFill="1" applyBorder="1" applyAlignment="1">
      <alignment horizontal="center" vertical="center"/>
    </xf>
    <xf numFmtId="0" fontId="38" fillId="3" borderId="17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165" fontId="20" fillId="3" borderId="17" xfId="0" applyNumberFormat="1" applyFont="1" applyFill="1" applyBorder="1" applyAlignment="1">
      <alignment horizontal="center" vertical="center"/>
    </xf>
    <xf numFmtId="0" fontId="24" fillId="3" borderId="17" xfId="0" applyFont="1" applyFill="1" applyBorder="1" applyAlignment="1">
      <alignment horizontal="center" vertical="center"/>
    </xf>
    <xf numFmtId="2" fontId="24" fillId="3" borderId="1" xfId="0" applyNumberFormat="1" applyFont="1" applyFill="1" applyBorder="1" applyAlignment="1">
      <alignment horizontal="center" vertical="center"/>
    </xf>
    <xf numFmtId="164" fontId="24" fillId="3" borderId="1" xfId="0" applyNumberFormat="1" applyFont="1" applyFill="1" applyBorder="1" applyAlignment="1">
      <alignment horizontal="center" vertical="center"/>
    </xf>
    <xf numFmtId="2" fontId="24" fillId="3" borderId="14" xfId="0" applyNumberFormat="1" applyFont="1" applyFill="1" applyBorder="1" applyAlignment="1">
      <alignment horizontal="center" vertical="center"/>
    </xf>
    <xf numFmtId="2" fontId="24" fillId="3" borderId="17" xfId="0" applyNumberFormat="1" applyFont="1" applyFill="1" applyBorder="1" applyAlignment="1">
      <alignment horizontal="center" vertical="center"/>
    </xf>
    <xf numFmtId="164" fontId="24" fillId="3" borderId="17" xfId="0" applyNumberFormat="1" applyFont="1" applyFill="1" applyBorder="1" applyAlignment="1">
      <alignment horizontal="center" vertical="center"/>
    </xf>
    <xf numFmtId="2" fontId="24" fillId="3" borderId="26" xfId="0" applyNumberFormat="1" applyFont="1" applyFill="1" applyBorder="1" applyAlignment="1">
      <alignment horizontal="center" vertical="center"/>
    </xf>
    <xf numFmtId="166" fontId="26" fillId="10" borderId="4" xfId="0" applyNumberFormat="1" applyFont="1" applyFill="1" applyBorder="1" applyAlignment="1">
      <alignment horizontal="center" vertical="center"/>
    </xf>
    <xf numFmtId="0" fontId="24" fillId="3" borderId="4" xfId="0" applyFont="1" applyFill="1" applyBorder="1" applyAlignment="1">
      <alignment vertical="center"/>
    </xf>
    <xf numFmtId="0" fontId="24" fillId="3" borderId="35" xfId="0" applyFont="1" applyFill="1" applyBorder="1" applyAlignment="1">
      <alignment horizontal="center" vertical="center"/>
    </xf>
    <xf numFmtId="0" fontId="24" fillId="3" borderId="4" xfId="0" applyFont="1" applyFill="1" applyBorder="1" applyAlignment="1">
      <alignment horizontal="center" vertical="center"/>
    </xf>
    <xf numFmtId="166" fontId="24" fillId="3" borderId="4" xfId="0" applyNumberFormat="1" applyFont="1" applyFill="1" applyBorder="1" applyAlignment="1">
      <alignment horizontal="center" vertical="center"/>
    </xf>
    <xf numFmtId="0" fontId="24" fillId="3" borderId="6" xfId="0" applyFont="1" applyFill="1" applyBorder="1" applyAlignment="1">
      <alignment horizontal="center" vertical="center"/>
    </xf>
    <xf numFmtId="0" fontId="24" fillId="3" borderId="7" xfId="0" applyFont="1" applyFill="1" applyBorder="1" applyAlignment="1">
      <alignment horizontal="center" vertical="center"/>
    </xf>
    <xf numFmtId="166" fontId="24" fillId="3" borderId="6" xfId="0" applyNumberFormat="1" applyFont="1" applyFill="1" applyBorder="1" applyAlignment="1">
      <alignment horizontal="center" vertical="center"/>
    </xf>
    <xf numFmtId="2" fontId="24" fillId="3" borderId="6" xfId="0" applyNumberFormat="1" applyFont="1" applyFill="1" applyBorder="1" applyAlignment="1">
      <alignment horizontal="center" vertical="center"/>
    </xf>
    <xf numFmtId="166" fontId="24" fillId="3" borderId="7" xfId="0" applyNumberFormat="1" applyFont="1" applyFill="1" applyBorder="1" applyAlignment="1">
      <alignment horizontal="center" vertical="center"/>
    </xf>
    <xf numFmtId="0" fontId="42" fillId="3" borderId="4" xfId="0" applyFont="1" applyFill="1" applyBorder="1" applyAlignment="1">
      <alignment horizontal="center" vertical="center"/>
    </xf>
    <xf numFmtId="0" fontId="24" fillId="3" borderId="5" xfId="0" applyFont="1" applyFill="1" applyBorder="1" applyAlignment="1">
      <alignment horizontal="center" vertical="center"/>
    </xf>
    <xf numFmtId="0" fontId="26" fillId="3" borderId="6" xfId="0" applyFont="1" applyFill="1" applyBorder="1" applyAlignment="1">
      <alignment horizontal="center" vertical="center"/>
    </xf>
    <xf numFmtId="0" fontId="38" fillId="3" borderId="6" xfId="0" applyFont="1" applyFill="1" applyBorder="1" applyAlignment="1">
      <alignment horizontal="center" vertical="center"/>
    </xf>
    <xf numFmtId="0" fontId="20" fillId="3" borderId="7" xfId="0" applyFont="1" applyFill="1" applyBorder="1" applyAlignment="1">
      <alignment horizontal="center" vertical="center"/>
    </xf>
    <xf numFmtId="0" fontId="20" fillId="3" borderId="21" xfId="0" applyFont="1" applyFill="1" applyBorder="1" applyAlignment="1">
      <alignment horizontal="center" vertical="center"/>
    </xf>
    <xf numFmtId="166" fontId="20" fillId="3" borderId="5" xfId="0" applyNumberFormat="1" applyFont="1" applyFill="1" applyBorder="1" applyAlignment="1">
      <alignment horizontal="center" vertical="center"/>
    </xf>
    <xf numFmtId="0" fontId="20" fillId="3" borderId="4" xfId="0" applyFont="1" applyFill="1" applyBorder="1" applyAlignment="1">
      <alignment horizontal="center" vertical="center"/>
    </xf>
    <xf numFmtId="0" fontId="20" fillId="3" borderId="5" xfId="0" applyFont="1" applyFill="1" applyBorder="1" applyAlignment="1">
      <alignment horizontal="center" vertical="center"/>
    </xf>
    <xf numFmtId="166" fontId="20" fillId="3" borderId="7" xfId="0" applyNumberFormat="1" applyFont="1" applyFill="1" applyBorder="1" applyAlignment="1">
      <alignment horizontal="center" vertical="center"/>
    </xf>
    <xf numFmtId="0" fontId="20" fillId="3" borderId="6" xfId="0" applyFont="1" applyFill="1" applyBorder="1" applyAlignment="1">
      <alignment horizontal="center" vertical="center"/>
    </xf>
    <xf numFmtId="166" fontId="20" fillId="9" borderId="5" xfId="0" applyNumberFormat="1" applyFont="1" applyFill="1" applyBorder="1" applyAlignment="1">
      <alignment horizontal="center" vertical="center"/>
    </xf>
    <xf numFmtId="0" fontId="20" fillId="6" borderId="4" xfId="0" applyFont="1" applyFill="1" applyBorder="1" applyAlignment="1">
      <alignment horizontal="center" vertical="center"/>
    </xf>
    <xf numFmtId="0" fontId="27" fillId="11" borderId="1" xfId="0" applyFont="1" applyFill="1" applyBorder="1" applyAlignment="1">
      <alignment vertical="center" wrapText="1"/>
    </xf>
    <xf numFmtId="0" fontId="27" fillId="11" borderId="1" xfId="0" applyFont="1" applyFill="1" applyBorder="1" applyAlignment="1">
      <alignment horizontal="center" vertical="center" wrapText="1"/>
    </xf>
    <xf numFmtId="0" fontId="27" fillId="11" borderId="14" xfId="0" applyFont="1" applyFill="1" applyBorder="1" applyAlignment="1">
      <alignment horizontal="center" vertical="center" wrapText="1"/>
    </xf>
    <xf numFmtId="0" fontId="40" fillId="3" borderId="13" xfId="0" applyFont="1" applyFill="1" applyBorder="1" applyAlignment="1">
      <alignment horizontal="center" vertical="center"/>
    </xf>
    <xf numFmtId="165" fontId="22" fillId="3" borderId="1" xfId="0" applyNumberFormat="1" applyFont="1" applyFill="1" applyBorder="1" applyAlignment="1">
      <alignment horizontal="center" vertical="center"/>
    </xf>
    <xf numFmtId="166" fontId="22" fillId="3" borderId="1" xfId="0" applyNumberFormat="1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0" fontId="22" fillId="3" borderId="14" xfId="0" applyFont="1" applyFill="1" applyBorder="1" applyAlignment="1">
      <alignment horizontal="center" vertical="center"/>
    </xf>
    <xf numFmtId="0" fontId="40" fillId="3" borderId="16" xfId="0" applyFont="1" applyFill="1" applyBorder="1" applyAlignment="1">
      <alignment horizontal="center" vertical="center"/>
    </xf>
    <xf numFmtId="165" fontId="22" fillId="3" borderId="17" xfId="0" applyNumberFormat="1" applyFont="1" applyFill="1" applyBorder="1" applyAlignment="1">
      <alignment horizontal="center" vertical="center"/>
    </xf>
    <xf numFmtId="166" fontId="22" fillId="3" borderId="17" xfId="0" applyNumberFormat="1" applyFont="1" applyFill="1" applyBorder="1" applyAlignment="1">
      <alignment horizontal="center" vertical="center"/>
    </xf>
    <xf numFmtId="0" fontId="50" fillId="0" borderId="0" xfId="0" applyFont="1" applyFill="1" applyBorder="1" applyAlignment="1" applyProtection="1">
      <alignment horizontal="center" vertical="center"/>
      <protection hidden="1"/>
    </xf>
    <xf numFmtId="0" fontId="49" fillId="0" borderId="0" xfId="0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6" fillId="0" borderId="0" xfId="0" applyFont="1" applyFill="1" applyAlignment="1" applyProtection="1">
      <alignment horizontal="center" vertical="center"/>
      <protection hidden="1"/>
    </xf>
    <xf numFmtId="0" fontId="48" fillId="0" borderId="11" xfId="0" applyFont="1" applyFill="1" applyBorder="1" applyAlignment="1" applyProtection="1">
      <alignment vertical="center"/>
      <protection hidden="1"/>
    </xf>
    <xf numFmtId="0" fontId="49" fillId="0" borderId="8" xfId="0" applyFont="1" applyFill="1" applyBorder="1" applyAlignment="1" applyProtection="1">
      <alignment vertical="center"/>
      <protection hidden="1"/>
    </xf>
    <xf numFmtId="0" fontId="20" fillId="3" borderId="24" xfId="0" applyFont="1" applyFill="1" applyBorder="1" applyAlignment="1" applyProtection="1">
      <alignment horizontal="center" vertical="center"/>
      <protection hidden="1"/>
    </xf>
    <xf numFmtId="0" fontId="20" fillId="3" borderId="1" xfId="0" applyFont="1" applyFill="1" applyBorder="1" applyAlignment="1" applyProtection="1">
      <alignment horizontal="center" vertical="center"/>
      <protection hidden="1"/>
    </xf>
    <xf numFmtId="2" fontId="20" fillId="3" borderId="1" xfId="0" applyNumberFormat="1" applyFont="1" applyFill="1" applyBorder="1" applyAlignment="1" applyProtection="1">
      <alignment horizontal="center" vertical="center"/>
      <protection hidden="1"/>
    </xf>
    <xf numFmtId="0" fontId="20" fillId="3" borderId="1" xfId="0" applyFont="1" applyFill="1" applyBorder="1" applyAlignment="1" applyProtection="1">
      <alignment horizontal="center" vertical="center"/>
      <protection locked="0"/>
    </xf>
    <xf numFmtId="0" fontId="20" fillId="5" borderId="17" xfId="0" applyFont="1" applyFill="1" applyBorder="1" applyAlignment="1" applyProtection="1">
      <alignment horizontal="center" vertical="center"/>
      <protection hidden="1"/>
    </xf>
    <xf numFmtId="0" fontId="38" fillId="3" borderId="6" xfId="0" applyFont="1" applyFill="1" applyBorder="1" applyAlignment="1" applyProtection="1">
      <alignment horizontal="center" vertical="center"/>
      <protection hidden="1"/>
    </xf>
    <xf numFmtId="0" fontId="38" fillId="3" borderId="7" xfId="0" applyFont="1" applyFill="1" applyBorder="1" applyAlignment="1" applyProtection="1">
      <alignment horizontal="center" vertical="center"/>
      <protection hidden="1"/>
    </xf>
    <xf numFmtId="0" fontId="20" fillId="3" borderId="55" xfId="0" applyFont="1" applyFill="1" applyBorder="1" applyAlignment="1" applyProtection="1">
      <alignment horizontal="center" vertical="center"/>
      <protection hidden="1"/>
    </xf>
    <xf numFmtId="0" fontId="38" fillId="3" borderId="37" xfId="0" applyFont="1" applyFill="1" applyBorder="1" applyAlignment="1" applyProtection="1">
      <alignment horizontal="center" vertical="center"/>
      <protection hidden="1"/>
    </xf>
    <xf numFmtId="0" fontId="20" fillId="3" borderId="56" xfId="0" applyFont="1" applyFill="1" applyBorder="1" applyAlignment="1" applyProtection="1">
      <alignment horizontal="center" vertical="center"/>
      <protection hidden="1"/>
    </xf>
    <xf numFmtId="0" fontId="38" fillId="3" borderId="3" xfId="0" applyFont="1" applyFill="1" applyBorder="1" applyAlignment="1" applyProtection="1">
      <alignment horizontal="center" vertical="center"/>
      <protection hidden="1"/>
    </xf>
    <xf numFmtId="0" fontId="20" fillId="3" borderId="57" xfId="0" applyFont="1" applyFill="1" applyBorder="1" applyAlignment="1" applyProtection="1">
      <alignment horizontal="center" vertical="center"/>
      <protection hidden="1"/>
    </xf>
    <xf numFmtId="0" fontId="38" fillId="3" borderId="54" xfId="0" applyFont="1" applyFill="1" applyBorder="1" applyAlignment="1" applyProtection="1">
      <alignment horizontal="center" vertical="center"/>
      <protection hidden="1"/>
    </xf>
    <xf numFmtId="0" fontId="14" fillId="3" borderId="25" xfId="0" applyFont="1" applyFill="1" applyBorder="1" applyAlignment="1" applyProtection="1">
      <alignment horizontal="center" vertical="center"/>
      <protection hidden="1"/>
    </xf>
    <xf numFmtId="0" fontId="14" fillId="3" borderId="14" xfId="0" applyFont="1" applyFill="1" applyBorder="1" applyAlignment="1" applyProtection="1">
      <alignment horizontal="center" vertical="center"/>
      <protection hidden="1"/>
    </xf>
    <xf numFmtId="0" fontId="14" fillId="3" borderId="26" xfId="0" applyFont="1" applyFill="1" applyBorder="1" applyAlignment="1" applyProtection="1">
      <alignment horizontal="center" vertical="center"/>
      <protection hidden="1"/>
    </xf>
    <xf numFmtId="0" fontId="43" fillId="10" borderId="4" xfId="0" applyFont="1" applyFill="1" applyBorder="1" applyAlignment="1" applyProtection="1">
      <alignment horizontal="center" vertical="center"/>
      <protection hidden="1"/>
    </xf>
    <xf numFmtId="0" fontId="14" fillId="3" borderId="53" xfId="0" applyFont="1" applyFill="1" applyBorder="1" applyAlignment="1" applyProtection="1">
      <alignment horizontal="center" vertical="center"/>
      <protection hidden="1"/>
    </xf>
    <xf numFmtId="0" fontId="20" fillId="3" borderId="40" xfId="0" applyFont="1" applyFill="1" applyBorder="1" applyAlignment="1" applyProtection="1">
      <alignment horizontal="center" vertical="center"/>
      <protection hidden="1"/>
    </xf>
    <xf numFmtId="0" fontId="20" fillId="8" borderId="55" xfId="0" applyFont="1" applyFill="1" applyBorder="1" applyAlignment="1">
      <alignment horizontal="center" vertical="center"/>
    </xf>
    <xf numFmtId="0" fontId="20" fillId="8" borderId="24" xfId="0" applyFont="1" applyFill="1" applyBorder="1" applyAlignment="1">
      <alignment horizontal="center" vertical="center"/>
    </xf>
    <xf numFmtId="0" fontId="14" fillId="8" borderId="25" xfId="0" applyFont="1" applyFill="1" applyBorder="1" applyAlignment="1">
      <alignment horizontal="center" vertical="center"/>
    </xf>
    <xf numFmtId="0" fontId="20" fillId="8" borderId="56" xfId="0" applyFont="1" applyFill="1" applyBorder="1" applyAlignment="1">
      <alignment horizontal="center" vertical="center"/>
    </xf>
    <xf numFmtId="2" fontId="20" fillId="8" borderId="1" xfId="0" applyNumberFormat="1" applyFont="1" applyFill="1" applyBorder="1" applyAlignment="1">
      <alignment horizontal="center" vertical="center"/>
    </xf>
    <xf numFmtId="0" fontId="14" fillId="8" borderId="14" xfId="0" applyFont="1" applyFill="1" applyBorder="1" applyAlignment="1">
      <alignment horizontal="center" vertical="center"/>
    </xf>
    <xf numFmtId="0" fontId="20" fillId="8" borderId="1" xfId="0" applyFont="1" applyFill="1" applyBorder="1" applyAlignment="1">
      <alignment horizontal="center" vertical="center"/>
    </xf>
    <xf numFmtId="166" fontId="20" fillId="8" borderId="1" xfId="0" applyNumberFormat="1" applyFont="1" applyFill="1" applyBorder="1" applyAlignment="1">
      <alignment horizontal="center" vertical="center"/>
    </xf>
    <xf numFmtId="0" fontId="38" fillId="8" borderId="37" xfId="0" applyFont="1" applyFill="1" applyBorder="1" applyAlignment="1">
      <alignment horizontal="center" vertical="center"/>
    </xf>
    <xf numFmtId="0" fontId="38" fillId="8" borderId="3" xfId="0" applyFont="1" applyFill="1" applyBorder="1" applyAlignment="1">
      <alignment horizontal="center" vertical="center"/>
    </xf>
    <xf numFmtId="2" fontId="38" fillId="8" borderId="3" xfId="0" applyNumberFormat="1" applyFont="1" applyFill="1" applyBorder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0" fontId="25" fillId="10" borderId="4" xfId="0" applyFont="1" applyFill="1" applyBorder="1" applyAlignment="1">
      <alignment horizontal="center" vertical="center"/>
    </xf>
    <xf numFmtId="2" fontId="20" fillId="5" borderId="1" xfId="0" applyNumberFormat="1" applyFont="1" applyFill="1" applyBorder="1" applyAlignment="1">
      <alignment horizontal="center" vertical="center"/>
    </xf>
    <xf numFmtId="2" fontId="20" fillId="6" borderId="1" xfId="0" applyNumberFormat="1" applyFont="1" applyFill="1" applyBorder="1" applyAlignment="1">
      <alignment horizontal="center" vertical="center"/>
    </xf>
    <xf numFmtId="2" fontId="20" fillId="6" borderId="17" xfId="0" applyNumberFormat="1" applyFont="1" applyFill="1" applyBorder="1" applyAlignment="1">
      <alignment horizontal="center" vertical="center"/>
    </xf>
    <xf numFmtId="0" fontId="26" fillId="8" borderId="57" xfId="0" applyFont="1" applyFill="1" applyBorder="1" applyAlignment="1">
      <alignment horizontal="center" vertical="center"/>
    </xf>
    <xf numFmtId="0" fontId="43" fillId="8" borderId="26" xfId="0" applyFont="1" applyFill="1" applyBorder="1" applyAlignment="1">
      <alignment horizontal="center" vertical="center"/>
    </xf>
    <xf numFmtId="0" fontId="26" fillId="8" borderId="54" xfId="0" applyFont="1" applyFill="1" applyBorder="1" applyAlignment="1">
      <alignment horizontal="center" vertical="center"/>
    </xf>
    <xf numFmtId="0" fontId="26" fillId="8" borderId="56" xfId="0" applyFont="1" applyFill="1" applyBorder="1" applyAlignment="1">
      <alignment horizontal="center" vertical="center"/>
    </xf>
    <xf numFmtId="0" fontId="26" fillId="8" borderId="3" xfId="0" applyFont="1" applyFill="1" applyBorder="1" applyAlignment="1">
      <alignment horizontal="center" vertical="center"/>
    </xf>
    <xf numFmtId="0" fontId="43" fillId="8" borderId="14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4" fillId="3" borderId="5" xfId="0" applyFont="1" applyFill="1" applyBorder="1" applyAlignment="1" applyProtection="1">
      <alignment horizontal="center" vertical="center"/>
      <protection locked="0"/>
    </xf>
    <xf numFmtId="0" fontId="14" fillId="3" borderId="7" xfId="0" applyFont="1" applyFill="1" applyBorder="1" applyAlignment="1" applyProtection="1">
      <alignment horizontal="center" vertical="center"/>
      <protection locked="0"/>
    </xf>
    <xf numFmtId="0" fontId="5" fillId="3" borderId="5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/>
    </xf>
    <xf numFmtId="0" fontId="24" fillId="3" borderId="12" xfId="0" applyFont="1" applyFill="1" applyBorder="1" applyAlignment="1">
      <alignment horizontal="center" vertical="center"/>
    </xf>
    <xf numFmtId="166" fontId="24" fillId="0" borderId="0" xfId="0" applyNumberFormat="1" applyFont="1" applyAlignment="1">
      <alignment horizontal="center" vertical="center"/>
    </xf>
    <xf numFmtId="2" fontId="24" fillId="0" borderId="0" xfId="0" applyNumberFormat="1" applyFont="1" applyAlignment="1">
      <alignment horizontal="center" vertical="center"/>
    </xf>
    <xf numFmtId="165" fontId="24" fillId="0" borderId="0" xfId="0" applyNumberFormat="1" applyFont="1" applyAlignment="1">
      <alignment horizontal="center" vertical="center"/>
    </xf>
    <xf numFmtId="0" fontId="26" fillId="11" borderId="1" xfId="0" applyFont="1" applyFill="1" applyBorder="1" applyAlignment="1">
      <alignment horizontal="center" vertical="center" wrapText="1"/>
    </xf>
    <xf numFmtId="166" fontId="26" fillId="11" borderId="1" xfId="0" applyNumberFormat="1" applyFont="1" applyFill="1" applyBorder="1" applyAlignment="1">
      <alignment horizontal="center" vertical="center"/>
    </xf>
    <xf numFmtId="2" fontId="26" fillId="11" borderId="1" xfId="0" applyNumberFormat="1" applyFont="1" applyFill="1" applyBorder="1" applyAlignment="1">
      <alignment horizontal="center" vertical="center"/>
    </xf>
    <xf numFmtId="165" fontId="26" fillId="11" borderId="1" xfId="0" applyNumberFormat="1" applyFont="1" applyFill="1" applyBorder="1" applyAlignment="1">
      <alignment horizontal="center" vertical="center" wrapText="1"/>
    </xf>
    <xf numFmtId="0" fontId="24" fillId="11" borderId="1" xfId="0" applyFont="1" applyFill="1" applyBorder="1" applyAlignment="1">
      <alignment horizontal="center" vertical="center"/>
    </xf>
    <xf numFmtId="2" fontId="24" fillId="8" borderId="1" xfId="0" applyNumberFormat="1" applyFont="1" applyFill="1" applyBorder="1" applyAlignment="1">
      <alignment horizontal="center" vertical="center"/>
    </xf>
    <xf numFmtId="166" fontId="24" fillId="8" borderId="1" xfId="0" applyNumberFormat="1" applyFont="1" applyFill="1" applyBorder="1" applyAlignment="1">
      <alignment horizontal="center" vertical="center"/>
    </xf>
    <xf numFmtId="165" fontId="24" fillId="8" borderId="1" xfId="0" applyNumberFormat="1" applyFont="1" applyFill="1" applyBorder="1" applyAlignment="1">
      <alignment horizontal="center" vertical="center"/>
    </xf>
    <xf numFmtId="0" fontId="38" fillId="8" borderId="1" xfId="0" applyFont="1" applyFill="1" applyBorder="1" applyAlignment="1">
      <alignment horizontal="center" vertical="center"/>
    </xf>
    <xf numFmtId="0" fontId="24" fillId="6" borderId="4" xfId="0" applyFont="1" applyFill="1" applyBorder="1" applyAlignment="1">
      <alignment horizontal="center" vertical="center"/>
    </xf>
    <xf numFmtId="0" fontId="38" fillId="3" borderId="59" xfId="0" applyFont="1" applyFill="1" applyBorder="1" applyAlignment="1">
      <alignment horizontal="center" vertical="center" wrapText="1"/>
    </xf>
    <xf numFmtId="164" fontId="20" fillId="3" borderId="46" xfId="0" applyNumberFormat="1" applyFont="1" applyFill="1" applyBorder="1" applyAlignment="1">
      <alignment horizontal="center" vertical="center"/>
    </xf>
    <xf numFmtId="2" fontId="20" fillId="3" borderId="46" xfId="0" applyNumberFormat="1" applyFont="1" applyFill="1" applyBorder="1" applyAlignment="1">
      <alignment horizontal="center" vertical="center"/>
    </xf>
    <xf numFmtId="165" fontId="20" fillId="3" borderId="46" xfId="0" applyNumberFormat="1" applyFont="1" applyFill="1" applyBorder="1" applyAlignment="1">
      <alignment horizontal="center" vertical="center"/>
    </xf>
    <xf numFmtId="166" fontId="20" fillId="3" borderId="46" xfId="0" applyNumberFormat="1" applyFont="1" applyFill="1" applyBorder="1" applyAlignment="1">
      <alignment horizontal="center" vertical="center"/>
    </xf>
    <xf numFmtId="166" fontId="20" fillId="3" borderId="60" xfId="0" applyNumberFormat="1" applyFont="1" applyFill="1" applyBorder="1" applyAlignment="1">
      <alignment horizontal="center" vertical="center"/>
    </xf>
    <xf numFmtId="0" fontId="26" fillId="11" borderId="4" xfId="0" applyFont="1" applyFill="1" applyBorder="1" applyAlignment="1">
      <alignment horizontal="center" vertical="center"/>
    </xf>
    <xf numFmtId="0" fontId="38" fillId="8" borderId="13" xfId="0" applyFont="1" applyFill="1" applyBorder="1" applyAlignment="1">
      <alignment horizontal="center" vertical="center"/>
    </xf>
    <xf numFmtId="0" fontId="24" fillId="8" borderId="14" xfId="0" applyFont="1" applyFill="1" applyBorder="1" applyAlignment="1">
      <alignment horizontal="center" vertical="center"/>
    </xf>
    <xf numFmtId="0" fontId="38" fillId="8" borderId="16" xfId="0" applyFont="1" applyFill="1" applyBorder="1" applyAlignment="1">
      <alignment horizontal="center" vertical="center"/>
    </xf>
    <xf numFmtId="0" fontId="24" fillId="8" borderId="17" xfId="0" applyFont="1" applyFill="1" applyBorder="1" applyAlignment="1">
      <alignment horizontal="center" vertical="center"/>
    </xf>
    <xf numFmtId="0" fontId="24" fillId="8" borderId="26" xfId="0" applyFont="1" applyFill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26" fillId="11" borderId="30" xfId="0" applyFont="1" applyFill="1" applyBorder="1" applyAlignment="1">
      <alignment horizontal="center" vertical="center"/>
    </xf>
    <xf numFmtId="2" fontId="24" fillId="3" borderId="3" xfId="0" applyNumberFormat="1" applyFont="1" applyFill="1" applyBorder="1" applyAlignment="1">
      <alignment horizontal="center" vertical="center"/>
    </xf>
    <xf numFmtId="166" fontId="24" fillId="3" borderId="1" xfId="0" applyNumberFormat="1" applyFont="1" applyFill="1" applyBorder="1" applyAlignment="1">
      <alignment horizontal="center" vertical="center"/>
    </xf>
    <xf numFmtId="166" fontId="24" fillId="3" borderId="14" xfId="0" applyNumberFormat="1" applyFont="1" applyFill="1" applyBorder="1" applyAlignment="1">
      <alignment horizontal="center" vertical="center"/>
    </xf>
    <xf numFmtId="0" fontId="24" fillId="3" borderId="18" xfId="0" applyFont="1" applyFill="1" applyBorder="1" applyAlignment="1">
      <alignment horizontal="center" vertical="center"/>
    </xf>
    <xf numFmtId="2" fontId="24" fillId="3" borderId="54" xfId="0" applyNumberFormat="1" applyFont="1" applyFill="1" applyBorder="1" applyAlignment="1">
      <alignment horizontal="center" vertical="center"/>
    </xf>
    <xf numFmtId="166" fontId="24" fillId="3" borderId="17" xfId="0" applyNumberFormat="1" applyFont="1" applyFill="1" applyBorder="1" applyAlignment="1">
      <alignment horizontal="center" vertical="center"/>
    </xf>
    <xf numFmtId="166" fontId="24" fillId="3" borderId="26" xfId="0" applyNumberFormat="1" applyFont="1" applyFill="1" applyBorder="1" applyAlignment="1">
      <alignment horizontal="center" vertical="center"/>
    </xf>
    <xf numFmtId="2" fontId="31" fillId="0" borderId="0" xfId="0" applyNumberFormat="1" applyFont="1" applyAlignment="1">
      <alignment horizontal="center" vertical="center"/>
    </xf>
    <xf numFmtId="0" fontId="26" fillId="11" borderId="29" xfId="0" applyFont="1" applyFill="1" applyBorder="1" applyAlignment="1">
      <alignment horizontal="center" vertical="center"/>
    </xf>
    <xf numFmtId="0" fontId="26" fillId="11" borderId="28" xfId="0" applyFont="1" applyFill="1" applyBorder="1" applyAlignment="1">
      <alignment horizontal="center" vertical="center"/>
    </xf>
    <xf numFmtId="0" fontId="38" fillId="3" borderId="23" xfId="0" applyFont="1" applyFill="1" applyBorder="1" applyAlignment="1">
      <alignment horizontal="center" vertical="center"/>
    </xf>
    <xf numFmtId="0" fontId="24" fillId="3" borderId="42" xfId="0" applyFont="1" applyFill="1" applyBorder="1" applyAlignment="1">
      <alignment horizontal="center" vertical="center"/>
    </xf>
    <xf numFmtId="2" fontId="24" fillId="3" borderId="24" xfId="0" applyNumberFormat="1" applyFont="1" applyFill="1" applyBorder="1" applyAlignment="1">
      <alignment horizontal="center" vertical="center"/>
    </xf>
    <xf numFmtId="2" fontId="24" fillId="3" borderId="37" xfId="0" applyNumberFormat="1" applyFont="1" applyFill="1" applyBorder="1" applyAlignment="1">
      <alignment horizontal="center" vertical="center"/>
    </xf>
    <xf numFmtId="0" fontId="24" fillId="3" borderId="24" xfId="0" applyFont="1" applyFill="1" applyBorder="1" applyAlignment="1">
      <alignment horizontal="center" vertical="center"/>
    </xf>
    <xf numFmtId="166" fontId="24" fillId="3" borderId="24" xfId="0" applyNumberFormat="1" applyFont="1" applyFill="1" applyBorder="1" applyAlignment="1">
      <alignment horizontal="center" vertical="center"/>
    </xf>
    <xf numFmtId="166" fontId="24" fillId="3" borderId="25" xfId="0" applyNumberFormat="1" applyFont="1" applyFill="1" applyBorder="1" applyAlignment="1">
      <alignment horizontal="center" vertical="center"/>
    </xf>
    <xf numFmtId="0" fontId="31" fillId="3" borderId="24" xfId="0" applyFont="1" applyFill="1" applyBorder="1" applyAlignment="1">
      <alignment horizontal="center" vertical="center"/>
    </xf>
    <xf numFmtId="2" fontId="31" fillId="3" borderId="24" xfId="0" applyNumberFormat="1" applyFont="1" applyFill="1" applyBorder="1" applyAlignment="1">
      <alignment horizontal="center" vertical="center"/>
    </xf>
    <xf numFmtId="0" fontId="31" fillId="3" borderId="1" xfId="0" applyFont="1" applyFill="1" applyBorder="1" applyAlignment="1">
      <alignment horizontal="center" vertical="center"/>
    </xf>
    <xf numFmtId="2" fontId="31" fillId="3" borderId="1" xfId="0" applyNumberFormat="1" applyFont="1" applyFill="1" applyBorder="1" applyAlignment="1">
      <alignment horizontal="center" vertical="center"/>
    </xf>
    <xf numFmtId="0" fontId="31" fillId="3" borderId="1" xfId="0" applyFont="1" applyFill="1" applyBorder="1" applyAlignment="1">
      <alignment horizontal="center" vertical="center" wrapText="1"/>
    </xf>
    <xf numFmtId="0" fontId="31" fillId="3" borderId="17" xfId="0" applyFont="1" applyFill="1" applyBorder="1" applyAlignment="1">
      <alignment horizontal="center" vertical="center" wrapText="1"/>
    </xf>
    <xf numFmtId="0" fontId="31" fillId="3" borderId="17" xfId="0" applyFont="1" applyFill="1" applyBorder="1" applyAlignment="1">
      <alignment horizontal="center" vertical="center"/>
    </xf>
    <xf numFmtId="2" fontId="31" fillId="3" borderId="17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11" borderId="5" xfId="0" applyFont="1" applyFill="1" applyBorder="1" applyAlignment="1">
      <alignment horizontal="center" vertical="center"/>
    </xf>
    <xf numFmtId="0" fontId="4" fillId="11" borderId="6" xfId="0" applyFont="1" applyFill="1" applyBorder="1" applyAlignment="1">
      <alignment horizontal="center" vertical="center"/>
    </xf>
    <xf numFmtId="0" fontId="4" fillId="11" borderId="7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/>
    </xf>
    <xf numFmtId="0" fontId="24" fillId="11" borderId="40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/>
    </xf>
    <xf numFmtId="0" fontId="38" fillId="11" borderId="14" xfId="0" applyFont="1" applyFill="1" applyBorder="1" applyAlignment="1">
      <alignment horizontal="center" vertical="center"/>
    </xf>
    <xf numFmtId="0" fontId="38" fillId="11" borderId="26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0" xfId="0" applyFont="1" applyFill="1" applyAlignment="1">
      <alignment horizontal="center" vertical="center"/>
    </xf>
    <xf numFmtId="0" fontId="43" fillId="2" borderId="0" xfId="0" applyFont="1" applyFill="1" applyAlignment="1">
      <alignment horizontal="center" vertical="center"/>
    </xf>
    <xf numFmtId="0" fontId="43" fillId="0" borderId="0" xfId="0" applyFont="1" applyFill="1" applyAlignment="1">
      <alignment horizontal="center" vertical="center"/>
    </xf>
    <xf numFmtId="0" fontId="43" fillId="0" borderId="0" xfId="0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14" fillId="0" borderId="0" xfId="0" applyFont="1" applyAlignment="1">
      <alignment vertical="center"/>
    </xf>
    <xf numFmtId="0" fontId="54" fillId="0" borderId="0" xfId="0" applyFont="1" applyFill="1" applyAlignment="1">
      <alignment horizontal="center" vertical="center"/>
    </xf>
    <xf numFmtId="0" fontId="14" fillId="3" borderId="13" xfId="0" applyFont="1" applyFill="1" applyBorder="1" applyAlignment="1" applyProtection="1">
      <alignment horizontal="center" vertical="center"/>
      <protection hidden="1"/>
    </xf>
    <xf numFmtId="0" fontId="14" fillId="3" borderId="1" xfId="0" applyFont="1" applyFill="1" applyBorder="1" applyAlignment="1" applyProtection="1">
      <alignment horizontal="center" vertical="center"/>
      <protection hidden="1"/>
    </xf>
    <xf numFmtId="0" fontId="14" fillId="3" borderId="1" xfId="0" applyFont="1" applyFill="1" applyBorder="1" applyAlignment="1">
      <alignment horizontal="center" vertical="center"/>
    </xf>
    <xf numFmtId="166" fontId="14" fillId="3" borderId="1" xfId="0" applyNumberFormat="1" applyFont="1" applyFill="1" applyBorder="1" applyAlignment="1" applyProtection="1">
      <alignment horizontal="center" vertical="center"/>
      <protection hidden="1"/>
    </xf>
    <xf numFmtId="0" fontId="14" fillId="3" borderId="14" xfId="0" applyFont="1" applyFill="1" applyBorder="1" applyAlignment="1">
      <alignment horizontal="center" vertical="center"/>
    </xf>
    <xf numFmtId="0" fontId="43" fillId="3" borderId="13" xfId="0" applyFont="1" applyFill="1" applyBorder="1" applyAlignment="1" applyProtection="1">
      <alignment horizontal="center" vertical="center"/>
      <protection hidden="1"/>
    </xf>
    <xf numFmtId="0" fontId="43" fillId="3" borderId="1" xfId="0" applyFont="1" applyFill="1" applyBorder="1" applyAlignment="1" applyProtection="1">
      <alignment horizontal="center" vertical="center"/>
      <protection hidden="1"/>
    </xf>
    <xf numFmtId="0" fontId="43" fillId="3" borderId="14" xfId="0" applyFont="1" applyFill="1" applyBorder="1" applyAlignment="1">
      <alignment horizontal="center" vertical="center"/>
    </xf>
    <xf numFmtId="0" fontId="14" fillId="3" borderId="16" xfId="0" applyFont="1" applyFill="1" applyBorder="1" applyAlignment="1" applyProtection="1">
      <alignment horizontal="center" vertical="center"/>
      <protection hidden="1"/>
    </xf>
    <xf numFmtId="0" fontId="14" fillId="3" borderId="17" xfId="0" applyFont="1" applyFill="1" applyBorder="1" applyAlignment="1" applyProtection="1">
      <alignment horizontal="center" vertical="center"/>
      <protection hidden="1"/>
    </xf>
    <xf numFmtId="0" fontId="14" fillId="3" borderId="17" xfId="0" applyFont="1" applyFill="1" applyBorder="1" applyAlignment="1">
      <alignment horizontal="center" vertical="center"/>
    </xf>
    <xf numFmtId="166" fontId="14" fillId="3" borderId="17" xfId="0" applyNumberFormat="1" applyFont="1" applyFill="1" applyBorder="1" applyAlignment="1" applyProtection="1">
      <alignment horizontal="center" vertical="center"/>
      <protection hidden="1"/>
    </xf>
    <xf numFmtId="0" fontId="14" fillId="3" borderId="26" xfId="0" applyFont="1" applyFill="1" applyBorder="1" applyAlignment="1">
      <alignment horizontal="center" vertical="center"/>
    </xf>
    <xf numFmtId="0" fontId="13" fillId="3" borderId="14" xfId="0" applyFont="1" applyFill="1" applyBorder="1" applyAlignment="1">
      <alignment horizontal="center" vertical="center"/>
    </xf>
    <xf numFmtId="0" fontId="43" fillId="11" borderId="1" xfId="0" applyFont="1" applyFill="1" applyBorder="1" applyAlignment="1">
      <alignment horizontal="center" vertical="center"/>
    </xf>
    <xf numFmtId="0" fontId="26" fillId="11" borderId="1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2" fillId="3" borderId="17" xfId="0" applyFont="1" applyFill="1" applyBorder="1" applyAlignment="1">
      <alignment horizontal="center" vertical="center"/>
    </xf>
    <xf numFmtId="0" fontId="22" fillId="3" borderId="26" xfId="0" applyFont="1" applyFill="1" applyBorder="1" applyAlignment="1">
      <alignment horizontal="center" vertical="center"/>
    </xf>
    <xf numFmtId="0" fontId="26" fillId="10" borderId="12" xfId="0" applyFont="1" applyFill="1" applyBorder="1" applyAlignment="1">
      <alignment horizontal="center" vertical="center"/>
    </xf>
    <xf numFmtId="0" fontId="26" fillId="11" borderId="12" xfId="0" applyFont="1" applyFill="1" applyBorder="1" applyAlignment="1">
      <alignment horizontal="center" vertical="center" wrapText="1"/>
    </xf>
    <xf numFmtId="49" fontId="24" fillId="8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textRotation="45"/>
    </xf>
    <xf numFmtId="0" fontId="26" fillId="10" borderId="1" xfId="0" applyFont="1" applyFill="1" applyBorder="1" applyAlignment="1">
      <alignment horizontal="center" vertical="center"/>
    </xf>
    <xf numFmtId="0" fontId="57" fillId="10" borderId="45" xfId="0" applyFont="1" applyFill="1" applyBorder="1" applyAlignment="1">
      <alignment horizontal="center" vertical="center" wrapText="1"/>
    </xf>
    <xf numFmtId="0" fontId="26" fillId="11" borderId="40" xfId="0" applyFont="1" applyFill="1" applyBorder="1" applyAlignment="1">
      <alignment horizontal="center" vertical="center"/>
    </xf>
    <xf numFmtId="165" fontId="31" fillId="3" borderId="1" xfId="0" applyNumberFormat="1" applyFont="1" applyFill="1" applyBorder="1" applyAlignment="1">
      <alignment horizontal="center" vertical="center"/>
    </xf>
    <xf numFmtId="1" fontId="59" fillId="3" borderId="6" xfId="0" applyNumberFormat="1" applyFont="1" applyFill="1" applyBorder="1" applyAlignment="1">
      <alignment horizontal="center" vertical="center"/>
    </xf>
    <xf numFmtId="0" fontId="26" fillId="11" borderId="41" xfId="0" applyFont="1" applyFill="1" applyBorder="1" applyAlignment="1">
      <alignment horizontal="center" vertical="center"/>
    </xf>
    <xf numFmtId="2" fontId="26" fillId="11" borderId="40" xfId="0" applyNumberFormat="1" applyFont="1" applyFill="1" applyBorder="1" applyAlignment="1">
      <alignment horizontal="center" vertical="center"/>
    </xf>
    <xf numFmtId="0" fontId="26" fillId="11" borderId="53" xfId="0" applyFont="1" applyFill="1" applyBorder="1" applyAlignment="1">
      <alignment horizontal="center" vertical="center"/>
    </xf>
    <xf numFmtId="0" fontId="26" fillId="11" borderId="53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/>
    </xf>
    <xf numFmtId="0" fontId="14" fillId="3" borderId="5" xfId="0" applyFont="1" applyFill="1" applyBorder="1" applyAlignment="1" applyProtection="1">
      <alignment horizontal="center" vertical="center"/>
      <protection locked="0"/>
    </xf>
    <xf numFmtId="0" fontId="14" fillId="3" borderId="7" xfId="0" applyFont="1" applyFill="1" applyBorder="1" applyAlignment="1" applyProtection="1">
      <alignment horizontal="center" vertical="center"/>
      <protection locked="0"/>
    </xf>
    <xf numFmtId="0" fontId="4" fillId="11" borderId="5" xfId="0" applyFont="1" applyFill="1" applyBorder="1" applyAlignment="1">
      <alignment horizontal="center" vertical="center"/>
    </xf>
    <xf numFmtId="0" fontId="4" fillId="11" borderId="6" xfId="0" applyFont="1" applyFill="1" applyBorder="1" applyAlignment="1">
      <alignment horizontal="center" vertical="center"/>
    </xf>
    <xf numFmtId="0" fontId="4" fillId="11" borderId="7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4" fillId="6" borderId="20" xfId="0" applyFont="1" applyFill="1" applyBorder="1" applyAlignment="1">
      <alignment horizontal="center" vertical="center"/>
    </xf>
    <xf numFmtId="0" fontId="4" fillId="6" borderId="10" xfId="0" applyFont="1" applyFill="1" applyBorder="1" applyAlignment="1">
      <alignment horizontal="center" vertical="center"/>
    </xf>
    <xf numFmtId="0" fontId="43" fillId="7" borderId="5" xfId="0" applyFont="1" applyFill="1" applyBorder="1" applyAlignment="1">
      <alignment horizontal="center" vertical="center"/>
    </xf>
    <xf numFmtId="0" fontId="43" fillId="7" borderId="7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center" vertical="center"/>
    </xf>
    <xf numFmtId="0" fontId="10" fillId="7" borderId="5" xfId="0" applyFont="1" applyFill="1" applyBorder="1" applyAlignment="1">
      <alignment horizontal="center" vertical="center"/>
    </xf>
    <xf numFmtId="0" fontId="10" fillId="7" borderId="7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11" fillId="11" borderId="5" xfId="0" applyFont="1" applyFill="1" applyBorder="1" applyAlignment="1">
      <alignment horizontal="center" vertical="center"/>
    </xf>
    <xf numFmtId="0" fontId="11" fillId="11" borderId="6" xfId="0" applyFont="1" applyFill="1" applyBorder="1" applyAlignment="1">
      <alignment horizontal="center" vertical="center"/>
    </xf>
    <xf numFmtId="0" fontId="11" fillId="11" borderId="7" xfId="0" applyFont="1" applyFill="1" applyBorder="1" applyAlignment="1">
      <alignment horizontal="center" vertical="center"/>
    </xf>
    <xf numFmtId="0" fontId="19" fillId="11" borderId="5" xfId="0" applyFont="1" applyFill="1" applyBorder="1" applyAlignment="1">
      <alignment horizontal="center" vertical="center"/>
    </xf>
    <xf numFmtId="0" fontId="19" fillId="11" borderId="6" xfId="0" applyFont="1" applyFill="1" applyBorder="1" applyAlignment="1">
      <alignment horizontal="center" vertical="center"/>
    </xf>
    <xf numFmtId="0" fontId="19" fillId="11" borderId="7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43" fillId="11" borderId="14" xfId="0" applyFont="1" applyFill="1" applyBorder="1" applyAlignment="1">
      <alignment horizontal="center" vertical="center"/>
    </xf>
    <xf numFmtId="0" fontId="43" fillId="10" borderId="23" xfId="0" applyFont="1" applyFill="1" applyBorder="1" applyAlignment="1" applyProtection="1">
      <alignment horizontal="center" vertical="center"/>
      <protection hidden="1"/>
    </xf>
    <xf numFmtId="0" fontId="43" fillId="10" borderId="24" xfId="0" applyFont="1" applyFill="1" applyBorder="1" applyAlignment="1" applyProtection="1">
      <alignment horizontal="center" vertical="center"/>
      <protection hidden="1"/>
    </xf>
    <xf numFmtId="0" fontId="43" fillId="10" borderId="25" xfId="0" applyFont="1" applyFill="1" applyBorder="1" applyAlignment="1" applyProtection="1">
      <alignment horizontal="center" vertical="center"/>
      <protection hidden="1"/>
    </xf>
    <xf numFmtId="0" fontId="43" fillId="11" borderId="23" xfId="0" applyFont="1" applyFill="1" applyBorder="1" applyAlignment="1" applyProtection="1">
      <alignment horizontal="center" vertical="center"/>
      <protection hidden="1"/>
    </xf>
    <xf numFmtId="0" fontId="43" fillId="11" borderId="24" xfId="0" applyFont="1" applyFill="1" applyBorder="1" applyAlignment="1" applyProtection="1">
      <alignment horizontal="center" vertical="center"/>
      <protection hidden="1"/>
    </xf>
    <xf numFmtId="0" fontId="43" fillId="11" borderId="25" xfId="0" applyFont="1" applyFill="1" applyBorder="1" applyAlignment="1" applyProtection="1">
      <alignment horizontal="center" vertical="center"/>
      <protection hidden="1"/>
    </xf>
    <xf numFmtId="0" fontId="43" fillId="11" borderId="1" xfId="0" applyFont="1" applyFill="1" applyBorder="1" applyAlignment="1" applyProtection="1">
      <alignment horizontal="center" vertical="center"/>
      <protection hidden="1"/>
    </xf>
    <xf numFmtId="0" fontId="43" fillId="11" borderId="13" xfId="0" applyFont="1" applyFill="1" applyBorder="1" applyAlignment="1" applyProtection="1">
      <alignment horizontal="center" vertical="center"/>
      <protection hidden="1"/>
    </xf>
    <xf numFmtId="0" fontId="43" fillId="11" borderId="1" xfId="0" applyFont="1" applyFill="1" applyBorder="1" applyAlignment="1">
      <alignment horizontal="center" vertical="center"/>
    </xf>
    <xf numFmtId="0" fontId="25" fillId="10" borderId="29" xfId="0" applyFont="1" applyFill="1" applyBorder="1" applyAlignment="1">
      <alignment horizontal="center" vertical="center"/>
    </xf>
    <xf numFmtId="0" fontId="25" fillId="10" borderId="30" xfId="0" applyFont="1" applyFill="1" applyBorder="1" applyAlignment="1">
      <alignment horizontal="center" vertical="center"/>
    </xf>
    <xf numFmtId="0" fontId="25" fillId="10" borderId="28" xfId="0" applyFont="1" applyFill="1" applyBorder="1" applyAlignment="1">
      <alignment horizontal="center" vertical="center"/>
    </xf>
    <xf numFmtId="0" fontId="23" fillId="5" borderId="5" xfId="0" applyFont="1" applyFill="1" applyBorder="1" applyAlignment="1">
      <alignment horizontal="center"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3" fillId="10" borderId="31" xfId="0" applyFont="1" applyFill="1" applyBorder="1" applyAlignment="1">
      <alignment horizontal="center" vertical="center"/>
    </xf>
    <xf numFmtId="0" fontId="53" fillId="10" borderId="32" xfId="0" applyFont="1" applyFill="1" applyBorder="1" applyAlignment="1">
      <alignment horizontal="center" vertical="center"/>
    </xf>
    <xf numFmtId="0" fontId="53" fillId="10" borderId="33" xfId="0" applyFont="1" applyFill="1" applyBorder="1" applyAlignment="1">
      <alignment horizontal="center" vertical="center"/>
    </xf>
    <xf numFmtId="0" fontId="26" fillId="11" borderId="12" xfId="0" applyFont="1" applyFill="1" applyBorder="1" applyAlignment="1">
      <alignment horizontal="center" vertical="center"/>
    </xf>
    <xf numFmtId="0" fontId="26" fillId="11" borderId="3" xfId="0" applyFont="1" applyFill="1" applyBorder="1" applyAlignment="1">
      <alignment horizontal="center" vertical="center"/>
    </xf>
    <xf numFmtId="0" fontId="38" fillId="11" borderId="18" xfId="0" applyFont="1" applyFill="1" applyBorder="1" applyAlignment="1">
      <alignment horizontal="center" vertical="center"/>
    </xf>
    <xf numFmtId="0" fontId="38" fillId="11" borderId="19" xfId="0" applyFont="1" applyFill="1" applyBorder="1" applyAlignment="1">
      <alignment horizontal="center" vertical="center"/>
    </xf>
    <xf numFmtId="0" fontId="38" fillId="11" borderId="12" xfId="0" applyFont="1" applyFill="1" applyBorder="1" applyAlignment="1">
      <alignment horizontal="center" vertical="center"/>
    </xf>
    <xf numFmtId="0" fontId="38" fillId="11" borderId="15" xfId="0" applyFont="1" applyFill="1" applyBorder="1" applyAlignment="1">
      <alignment horizontal="center" vertical="center"/>
    </xf>
    <xf numFmtId="0" fontId="26" fillId="11" borderId="15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4" fillId="3" borderId="15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21" fillId="0" borderId="0" xfId="0" applyFont="1" applyFill="1" applyBorder="1" applyAlignment="1" applyProtection="1">
      <alignment horizontal="center" vertical="center"/>
      <protection hidden="1"/>
    </xf>
    <xf numFmtId="0" fontId="5" fillId="3" borderId="16" xfId="0" applyFont="1" applyFill="1" applyBorder="1" applyAlignment="1">
      <alignment horizontal="center"/>
    </xf>
    <xf numFmtId="0" fontId="5" fillId="3" borderId="17" xfId="0" applyFont="1" applyFill="1" applyBorder="1" applyAlignment="1">
      <alignment horizontal="center"/>
    </xf>
    <xf numFmtId="0" fontId="5" fillId="3" borderId="39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1" fontId="4" fillId="3" borderId="18" xfId="0" applyNumberFormat="1" applyFont="1" applyFill="1" applyBorder="1" applyAlignment="1">
      <alignment horizontal="center" vertical="center"/>
    </xf>
    <xf numFmtId="1" fontId="4" fillId="3" borderId="19" xfId="0" applyNumberFormat="1" applyFont="1" applyFill="1" applyBorder="1" applyAlignment="1">
      <alignment horizontal="center" vertical="center"/>
    </xf>
    <xf numFmtId="0" fontId="10" fillId="10" borderId="5" xfId="0" applyFont="1" applyFill="1" applyBorder="1" applyAlignment="1">
      <alignment horizontal="center" vertical="center"/>
    </xf>
    <xf numFmtId="0" fontId="10" fillId="10" borderId="6" xfId="0" applyFont="1" applyFill="1" applyBorder="1" applyAlignment="1">
      <alignment horizontal="center" vertical="center"/>
    </xf>
    <xf numFmtId="0" fontId="10" fillId="10" borderId="7" xfId="0" applyFont="1" applyFill="1" applyBorder="1" applyAlignment="1">
      <alignment horizontal="center" vertical="center"/>
    </xf>
    <xf numFmtId="0" fontId="39" fillId="3" borderId="5" xfId="0" applyFont="1" applyFill="1" applyBorder="1" applyAlignment="1">
      <alignment horizontal="center" vertical="center"/>
    </xf>
    <xf numFmtId="0" fontId="39" fillId="3" borderId="7" xfId="0" applyFont="1" applyFill="1" applyBorder="1" applyAlignment="1">
      <alignment horizontal="center" vertical="center"/>
    </xf>
    <xf numFmtId="0" fontId="39" fillId="3" borderId="9" xfId="0" applyFont="1" applyFill="1" applyBorder="1" applyAlignment="1">
      <alignment horizontal="center" vertical="center"/>
    </xf>
    <xf numFmtId="0" fontId="39" fillId="3" borderId="10" xfId="0" applyFont="1" applyFill="1" applyBorder="1" applyAlignment="1">
      <alignment horizontal="center" vertical="center"/>
    </xf>
    <xf numFmtId="0" fontId="10" fillId="10" borderId="31" xfId="0" applyFont="1" applyFill="1" applyBorder="1" applyAlignment="1">
      <alignment horizontal="center" wrapText="1"/>
    </xf>
    <xf numFmtId="0" fontId="10" fillId="10" borderId="32" xfId="0" applyFont="1" applyFill="1" applyBorder="1" applyAlignment="1">
      <alignment horizontal="center" wrapText="1"/>
    </xf>
    <xf numFmtId="0" fontId="10" fillId="10" borderId="33" xfId="0" applyFont="1" applyFill="1" applyBorder="1" applyAlignment="1">
      <alignment horizontal="center" wrapText="1"/>
    </xf>
    <xf numFmtId="166" fontId="26" fillId="10" borderId="5" xfId="0" applyNumberFormat="1" applyFont="1" applyFill="1" applyBorder="1" applyAlignment="1">
      <alignment horizontal="center" vertical="center"/>
    </xf>
    <xf numFmtId="166" fontId="26" fillId="10" borderId="6" xfId="0" applyNumberFormat="1" applyFont="1" applyFill="1" applyBorder="1" applyAlignment="1">
      <alignment horizontal="center" vertical="center"/>
    </xf>
    <xf numFmtId="166" fontId="26" fillId="10" borderId="7" xfId="0" applyNumberFormat="1" applyFont="1" applyFill="1" applyBorder="1" applyAlignment="1">
      <alignment horizontal="center" vertical="center"/>
    </xf>
    <xf numFmtId="0" fontId="20" fillId="3" borderId="5" xfId="0" applyFont="1" applyFill="1" applyBorder="1" applyAlignment="1">
      <alignment horizontal="center" vertical="center"/>
    </xf>
    <xf numFmtId="0" fontId="20" fillId="3" borderId="7" xfId="0" applyFont="1" applyFill="1" applyBorder="1" applyAlignment="1">
      <alignment horizontal="center" vertical="center"/>
    </xf>
    <xf numFmtId="0" fontId="20" fillId="3" borderId="6" xfId="0" applyFont="1" applyFill="1" applyBorder="1" applyAlignment="1">
      <alignment horizontal="center" vertical="center"/>
    </xf>
    <xf numFmtId="0" fontId="38" fillId="11" borderId="5" xfId="0" applyFont="1" applyFill="1" applyBorder="1" applyAlignment="1">
      <alignment horizontal="center" vertical="center"/>
    </xf>
    <xf numFmtId="0" fontId="38" fillId="11" borderId="7" xfId="0" applyFont="1" applyFill="1" applyBorder="1" applyAlignment="1">
      <alignment horizontal="center" vertical="center"/>
    </xf>
    <xf numFmtId="166" fontId="20" fillId="3" borderId="5" xfId="0" applyNumberFormat="1" applyFont="1" applyFill="1" applyBorder="1" applyAlignment="1">
      <alignment horizontal="center" vertical="center"/>
    </xf>
    <xf numFmtId="0" fontId="37" fillId="0" borderId="6" xfId="0" applyFont="1" applyBorder="1"/>
    <xf numFmtId="0" fontId="37" fillId="0" borderId="7" xfId="0" applyFont="1" applyBorder="1"/>
    <xf numFmtId="166" fontId="20" fillId="3" borderId="6" xfId="0" applyNumberFormat="1" applyFont="1" applyFill="1" applyBorder="1" applyAlignment="1">
      <alignment horizontal="center" vertical="center"/>
    </xf>
    <xf numFmtId="166" fontId="20" fillId="3" borderId="7" xfId="0" applyNumberFormat="1" applyFont="1" applyFill="1" applyBorder="1" applyAlignment="1">
      <alignment horizontal="center" vertical="center"/>
    </xf>
    <xf numFmtId="166" fontId="26" fillId="11" borderId="5" xfId="0" applyNumberFormat="1" applyFont="1" applyFill="1" applyBorder="1" applyAlignment="1">
      <alignment horizontal="center" vertical="center"/>
    </xf>
    <xf numFmtId="166" fontId="26" fillId="11" borderId="7" xfId="0" applyNumberFormat="1" applyFont="1" applyFill="1" applyBorder="1" applyAlignment="1">
      <alignment horizontal="center" vertical="center"/>
    </xf>
    <xf numFmtId="0" fontId="45" fillId="3" borderId="5" xfId="0" applyFont="1" applyFill="1" applyBorder="1" applyAlignment="1">
      <alignment horizontal="center" vertical="center"/>
    </xf>
    <xf numFmtId="2" fontId="24" fillId="9" borderId="6" xfId="0" applyNumberFormat="1" applyFont="1" applyFill="1" applyBorder="1" applyAlignment="1">
      <alignment horizontal="center" vertical="center"/>
    </xf>
    <xf numFmtId="0" fontId="38" fillId="3" borderId="6" xfId="0" applyFont="1" applyFill="1" applyBorder="1" applyAlignment="1">
      <alignment horizontal="center" vertical="center"/>
    </xf>
    <xf numFmtId="0" fontId="38" fillId="3" borderId="7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5" fillId="3" borderId="36" xfId="0" applyFont="1" applyFill="1" applyBorder="1" applyAlignment="1">
      <alignment horizontal="center" vertical="center"/>
    </xf>
    <xf numFmtId="0" fontId="20" fillId="3" borderId="21" xfId="0" applyFont="1" applyFill="1" applyBorder="1" applyAlignment="1">
      <alignment horizontal="center" vertical="center"/>
    </xf>
    <xf numFmtId="0" fontId="20" fillId="3" borderId="22" xfId="0" applyFont="1" applyFill="1" applyBorder="1" applyAlignment="1">
      <alignment horizontal="center" vertical="center"/>
    </xf>
    <xf numFmtId="0" fontId="47" fillId="10" borderId="5" xfId="0" applyFont="1" applyFill="1" applyBorder="1" applyAlignment="1">
      <alignment horizontal="center" vertical="center"/>
    </xf>
    <xf numFmtId="0" fontId="47" fillId="10" borderId="6" xfId="0" applyFont="1" applyFill="1" applyBorder="1" applyAlignment="1">
      <alignment horizontal="center" vertical="center"/>
    </xf>
    <xf numFmtId="0" fontId="47" fillId="10" borderId="7" xfId="0" applyFont="1" applyFill="1" applyBorder="1" applyAlignment="1">
      <alignment horizontal="center" vertical="center"/>
    </xf>
    <xf numFmtId="0" fontId="27" fillId="11" borderId="29" xfId="0" applyFont="1" applyFill="1" applyBorder="1" applyAlignment="1">
      <alignment horizontal="center" vertical="center" wrapText="1"/>
    </xf>
    <xf numFmtId="0" fontId="27" fillId="11" borderId="41" xfId="0" applyFont="1" applyFill="1" applyBorder="1" applyAlignment="1">
      <alignment horizontal="center" vertical="center" wrapText="1"/>
    </xf>
    <xf numFmtId="0" fontId="27" fillId="11" borderId="30" xfId="0" applyFont="1" applyFill="1" applyBorder="1" applyAlignment="1">
      <alignment horizontal="center" vertical="center" wrapText="1"/>
    </xf>
    <xf numFmtId="0" fontId="27" fillId="11" borderId="40" xfId="0" applyFont="1" applyFill="1" applyBorder="1" applyAlignment="1">
      <alignment horizontal="center" vertical="center" wrapText="1"/>
    </xf>
    <xf numFmtId="0" fontId="27" fillId="11" borderId="42" xfId="0" applyFont="1" applyFill="1" applyBorder="1" applyAlignment="1">
      <alignment horizontal="center" vertical="center" wrapText="1"/>
    </xf>
    <xf numFmtId="0" fontId="27" fillId="11" borderId="32" xfId="0" applyFont="1" applyFill="1" applyBorder="1" applyAlignment="1">
      <alignment horizontal="center" vertical="center" wrapText="1"/>
    </xf>
    <xf numFmtId="0" fontId="27" fillId="11" borderId="37" xfId="0" applyFont="1" applyFill="1" applyBorder="1" applyAlignment="1">
      <alignment horizontal="center" vertical="center" wrapText="1"/>
    </xf>
    <xf numFmtId="0" fontId="27" fillId="11" borderId="33" xfId="0" applyFont="1" applyFill="1" applyBorder="1" applyAlignment="1">
      <alignment horizontal="center" vertical="center" wrapText="1"/>
    </xf>
    <xf numFmtId="0" fontId="26" fillId="11" borderId="30" xfId="0" applyFont="1" applyFill="1" applyBorder="1" applyAlignment="1">
      <alignment horizontal="center" vertical="center" wrapText="1"/>
    </xf>
    <xf numFmtId="0" fontId="26" fillId="11" borderId="40" xfId="0" applyFont="1" applyFill="1" applyBorder="1" applyAlignment="1">
      <alignment horizontal="center" vertical="center" wrapText="1"/>
    </xf>
    <xf numFmtId="0" fontId="26" fillId="11" borderId="1" xfId="0" applyFont="1" applyFill="1" applyBorder="1" applyAlignment="1">
      <alignment horizontal="center" vertical="center"/>
    </xf>
    <xf numFmtId="0" fontId="26" fillId="11" borderId="40" xfId="0" applyFont="1" applyFill="1" applyBorder="1" applyAlignment="1">
      <alignment horizontal="center" vertical="center"/>
    </xf>
    <xf numFmtId="0" fontId="26" fillId="11" borderId="9" xfId="0" applyFont="1" applyFill="1" applyBorder="1" applyAlignment="1">
      <alignment horizontal="center" vertical="center"/>
    </xf>
    <xf numFmtId="0" fontId="26" fillId="11" borderId="20" xfId="0" applyFont="1" applyFill="1" applyBorder="1" applyAlignment="1">
      <alignment horizontal="center" vertical="center"/>
    </xf>
    <xf numFmtId="0" fontId="26" fillId="11" borderId="58" xfId="0" applyFont="1" applyFill="1" applyBorder="1" applyAlignment="1">
      <alignment horizontal="center" vertical="center"/>
    </xf>
    <xf numFmtId="0" fontId="47" fillId="10" borderId="12" xfId="0" applyFont="1" applyFill="1" applyBorder="1" applyAlignment="1">
      <alignment horizontal="center" vertical="center"/>
    </xf>
    <xf numFmtId="0" fontId="47" fillId="10" borderId="2" xfId="0" applyFont="1" applyFill="1" applyBorder="1" applyAlignment="1">
      <alignment horizontal="center" vertical="center"/>
    </xf>
    <xf numFmtId="0" fontId="47" fillId="10" borderId="3" xfId="0" applyFont="1" applyFill="1" applyBorder="1" applyAlignment="1">
      <alignment horizontal="center" vertical="center"/>
    </xf>
    <xf numFmtId="0" fontId="25" fillId="11" borderId="9" xfId="0" applyFont="1" applyFill="1" applyBorder="1" applyAlignment="1">
      <alignment horizontal="center" vertical="center"/>
    </xf>
    <xf numFmtId="0" fontId="25" fillId="11" borderId="20" xfId="0" applyFont="1" applyFill="1" applyBorder="1" applyAlignment="1">
      <alignment horizontal="center" vertical="center"/>
    </xf>
    <xf numFmtId="0" fontId="25" fillId="11" borderId="10" xfId="0" applyFont="1" applyFill="1" applyBorder="1" applyAlignment="1">
      <alignment horizontal="center" vertical="center"/>
    </xf>
    <xf numFmtId="0" fontId="25" fillId="11" borderId="5" xfId="0" applyFont="1" applyFill="1" applyBorder="1" applyAlignment="1">
      <alignment horizontal="center" vertical="center"/>
    </xf>
    <xf numFmtId="0" fontId="25" fillId="11" borderId="6" xfId="0" applyFont="1" applyFill="1" applyBorder="1" applyAlignment="1">
      <alignment horizontal="center" vertical="center"/>
    </xf>
    <xf numFmtId="0" fontId="25" fillId="11" borderId="7" xfId="0" applyFont="1" applyFill="1" applyBorder="1" applyAlignment="1">
      <alignment horizontal="center" vertical="center"/>
    </xf>
    <xf numFmtId="0" fontId="26" fillId="11" borderId="42" xfId="0" applyFont="1" applyFill="1" applyBorder="1" applyAlignment="1">
      <alignment horizontal="center" vertical="center"/>
    </xf>
    <xf numFmtId="0" fontId="26" fillId="11" borderId="37" xfId="0" applyFont="1" applyFill="1" applyBorder="1" applyAlignment="1">
      <alignment horizontal="center" vertical="center"/>
    </xf>
    <xf numFmtId="0" fontId="24" fillId="5" borderId="12" xfId="0" applyFont="1" applyFill="1" applyBorder="1" applyAlignment="1">
      <alignment horizontal="center" vertical="center"/>
    </xf>
    <xf numFmtId="0" fontId="24" fillId="5" borderId="2" xfId="0" applyFont="1" applyFill="1" applyBorder="1" applyAlignment="1">
      <alignment horizontal="center" vertical="center"/>
    </xf>
    <xf numFmtId="0" fontId="24" fillId="5" borderId="3" xfId="0" applyFont="1" applyFill="1" applyBorder="1" applyAlignment="1">
      <alignment horizontal="center" vertical="center"/>
    </xf>
    <xf numFmtId="0" fontId="24" fillId="6" borderId="12" xfId="0" applyFont="1" applyFill="1" applyBorder="1" applyAlignment="1">
      <alignment horizontal="center" vertical="center"/>
    </xf>
    <xf numFmtId="0" fontId="24" fillId="6" borderId="2" xfId="0" applyFont="1" applyFill="1" applyBorder="1" applyAlignment="1">
      <alignment horizontal="center" vertical="center"/>
    </xf>
    <xf numFmtId="0" fontId="24" fillId="6" borderId="3" xfId="0" applyFont="1" applyFill="1" applyBorder="1" applyAlignment="1">
      <alignment horizontal="center" vertical="center"/>
    </xf>
    <xf numFmtId="0" fontId="36" fillId="7" borderId="5" xfId="0" applyFont="1" applyFill="1" applyBorder="1" applyAlignment="1">
      <alignment horizontal="center" vertical="center"/>
    </xf>
    <xf numFmtId="0" fontId="36" fillId="7" borderId="6" xfId="0" applyFont="1" applyFill="1" applyBorder="1" applyAlignment="1">
      <alignment horizontal="center" vertical="center"/>
    </xf>
    <xf numFmtId="0" fontId="36" fillId="7" borderId="7" xfId="0" applyFont="1" applyFill="1" applyBorder="1" applyAlignment="1">
      <alignment horizontal="center" vertical="center"/>
    </xf>
    <xf numFmtId="0" fontId="24" fillId="4" borderId="12" xfId="0" applyFont="1" applyFill="1" applyBorder="1" applyAlignment="1">
      <alignment horizontal="center" vertical="center" readingOrder="2"/>
    </xf>
    <xf numFmtId="0" fontId="24" fillId="4" borderId="2" xfId="0" applyFont="1" applyFill="1" applyBorder="1" applyAlignment="1">
      <alignment horizontal="center" vertical="center" readingOrder="2"/>
    </xf>
    <xf numFmtId="0" fontId="11" fillId="8" borderId="12" xfId="0" applyFont="1" applyFill="1" applyBorder="1" applyAlignment="1">
      <alignment horizontal="center" vertical="center"/>
    </xf>
    <xf numFmtId="0" fontId="11" fillId="8" borderId="48" xfId="0" applyFont="1" applyFill="1" applyBorder="1" applyAlignment="1">
      <alignment horizontal="center" vertical="center"/>
    </xf>
    <xf numFmtId="0" fontId="24" fillId="8" borderId="47" xfId="0" applyFont="1" applyFill="1" applyBorder="1" applyAlignment="1">
      <alignment horizontal="center" vertical="center"/>
    </xf>
    <xf numFmtId="0" fontId="24" fillId="8" borderId="38" xfId="0" applyFont="1" applyFill="1" applyBorder="1" applyAlignment="1">
      <alignment horizontal="center" vertical="center"/>
    </xf>
    <xf numFmtId="0" fontId="24" fillId="8" borderId="48" xfId="0" applyFont="1" applyFill="1" applyBorder="1" applyAlignment="1">
      <alignment horizontal="center" vertical="center"/>
    </xf>
    <xf numFmtId="0" fontId="24" fillId="8" borderId="51" xfId="0" applyFont="1" applyFill="1" applyBorder="1" applyAlignment="1">
      <alignment horizontal="center" vertical="center"/>
    </xf>
    <xf numFmtId="0" fontId="24" fillId="8" borderId="0" xfId="0" applyFont="1" applyFill="1" applyBorder="1" applyAlignment="1">
      <alignment horizontal="center" vertical="center"/>
    </xf>
    <xf numFmtId="0" fontId="24" fillId="8" borderId="43" xfId="0" applyFont="1" applyFill="1" applyBorder="1" applyAlignment="1">
      <alignment horizontal="center" vertical="center"/>
    </xf>
    <xf numFmtId="0" fontId="24" fillId="8" borderId="49" xfId="0" applyFont="1" applyFill="1" applyBorder="1" applyAlignment="1">
      <alignment horizontal="center" vertical="center"/>
    </xf>
    <xf numFmtId="0" fontId="24" fillId="8" borderId="50" xfId="0" applyFont="1" applyFill="1" applyBorder="1" applyAlignment="1">
      <alignment horizontal="center" vertical="center"/>
    </xf>
    <xf numFmtId="0" fontId="24" fillId="8" borderId="44" xfId="0" applyFont="1" applyFill="1" applyBorder="1" applyAlignment="1">
      <alignment horizontal="center" vertical="center"/>
    </xf>
    <xf numFmtId="0" fontId="11" fillId="8" borderId="2" xfId="0" applyFont="1" applyFill="1" applyBorder="1" applyAlignment="1">
      <alignment horizontal="center" vertical="center"/>
    </xf>
    <xf numFmtId="0" fontId="11" fillId="8" borderId="3" xfId="0" applyFont="1" applyFill="1" applyBorder="1" applyAlignment="1">
      <alignment horizontal="center" vertical="center"/>
    </xf>
    <xf numFmtId="0" fontId="24" fillId="4" borderId="1" xfId="0" applyFont="1" applyFill="1" applyBorder="1" applyAlignment="1">
      <alignment horizontal="center" vertical="center"/>
    </xf>
    <xf numFmtId="0" fontId="24" fillId="4" borderId="40" xfId="0" applyFont="1" applyFill="1" applyBorder="1" applyAlignment="1">
      <alignment horizontal="center" vertical="center"/>
    </xf>
    <xf numFmtId="0" fontId="24" fillId="4" borderId="49" xfId="0" applyFont="1" applyFill="1" applyBorder="1" applyAlignment="1">
      <alignment horizontal="center" vertical="center"/>
    </xf>
    <xf numFmtId="0" fontId="24" fillId="4" borderId="1" xfId="0" applyFont="1" applyFill="1" applyBorder="1" applyAlignment="1">
      <alignment horizontal="center" vertical="center" readingOrder="1"/>
    </xf>
    <xf numFmtId="0" fontId="24" fillId="4" borderId="40" xfId="0" applyFont="1" applyFill="1" applyBorder="1" applyAlignment="1">
      <alignment horizontal="center" vertical="center" readingOrder="1"/>
    </xf>
    <xf numFmtId="0" fontId="24" fillId="4" borderId="12" xfId="0" applyFont="1" applyFill="1" applyBorder="1" applyAlignment="1">
      <alignment horizontal="center" vertical="center" readingOrder="1"/>
    </xf>
    <xf numFmtId="0" fontId="24" fillId="4" borderId="2" xfId="0" applyFont="1" applyFill="1" applyBorder="1" applyAlignment="1">
      <alignment horizontal="center" vertical="center" readingOrder="1"/>
    </xf>
    <xf numFmtId="0" fontId="24" fillId="4" borderId="12" xfId="0" applyFont="1" applyFill="1" applyBorder="1" applyAlignment="1">
      <alignment horizontal="center" vertical="center"/>
    </xf>
    <xf numFmtId="0" fontId="24" fillId="4" borderId="2" xfId="0" applyFont="1" applyFill="1" applyBorder="1" applyAlignment="1">
      <alignment horizontal="center" vertical="center"/>
    </xf>
    <xf numFmtId="0" fontId="24" fillId="4" borderId="50" xfId="0" applyFont="1" applyFill="1" applyBorder="1" applyAlignment="1">
      <alignment horizontal="center" vertical="center"/>
    </xf>
    <xf numFmtId="0" fontId="24" fillId="3" borderId="47" xfId="0" applyFont="1" applyFill="1" applyBorder="1" applyAlignment="1">
      <alignment horizontal="center" vertical="center"/>
    </xf>
    <xf numFmtId="0" fontId="24" fillId="3" borderId="38" xfId="0" applyFont="1" applyFill="1" applyBorder="1" applyAlignment="1">
      <alignment horizontal="center" vertical="center"/>
    </xf>
    <xf numFmtId="0" fontId="24" fillId="3" borderId="48" xfId="0" applyFont="1" applyFill="1" applyBorder="1" applyAlignment="1">
      <alignment horizontal="center" vertical="center"/>
    </xf>
    <xf numFmtId="0" fontId="24" fillId="3" borderId="49" xfId="0" applyFont="1" applyFill="1" applyBorder="1" applyAlignment="1">
      <alignment horizontal="center" vertical="center"/>
    </xf>
    <xf numFmtId="0" fontId="24" fillId="3" borderId="50" xfId="0" applyFont="1" applyFill="1" applyBorder="1" applyAlignment="1">
      <alignment horizontal="center" vertical="center"/>
    </xf>
    <xf numFmtId="0" fontId="24" fillId="3" borderId="44" xfId="0" applyFont="1" applyFill="1" applyBorder="1" applyAlignment="1">
      <alignment horizontal="center" vertical="center"/>
    </xf>
    <xf numFmtId="0" fontId="26" fillId="7" borderId="5" xfId="0" applyFont="1" applyFill="1" applyBorder="1" applyAlignment="1">
      <alignment horizontal="center" vertical="center" readingOrder="1"/>
    </xf>
    <xf numFmtId="0" fontId="26" fillId="7" borderId="6" xfId="0" applyFont="1" applyFill="1" applyBorder="1" applyAlignment="1">
      <alignment horizontal="center" vertical="center" readingOrder="1"/>
    </xf>
    <xf numFmtId="0" fontId="26" fillId="7" borderId="7" xfId="0" applyFont="1" applyFill="1" applyBorder="1" applyAlignment="1">
      <alignment horizontal="center" vertical="center" readingOrder="1"/>
    </xf>
    <xf numFmtId="0" fontId="24" fillId="8" borderId="12" xfId="0" applyFont="1" applyFill="1" applyBorder="1" applyAlignment="1">
      <alignment horizontal="center" vertical="center"/>
    </xf>
    <xf numFmtId="0" fontId="26" fillId="7" borderId="21" xfId="0" applyFont="1" applyFill="1" applyBorder="1" applyAlignment="1">
      <alignment horizontal="center" vertical="center"/>
    </xf>
    <xf numFmtId="0" fontId="26" fillId="7" borderId="27" xfId="0" applyFont="1" applyFill="1" applyBorder="1" applyAlignment="1">
      <alignment horizontal="center" vertical="center"/>
    </xf>
    <xf numFmtId="0" fontId="26" fillId="7" borderId="22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/>
    </xf>
    <xf numFmtId="0" fontId="24" fillId="3" borderId="46" xfId="0" applyFont="1" applyFill="1" applyBorder="1" applyAlignment="1">
      <alignment horizontal="center" vertical="center"/>
    </xf>
    <xf numFmtId="0" fontId="24" fillId="3" borderId="12" xfId="0" applyFont="1" applyFill="1" applyBorder="1" applyAlignment="1">
      <alignment horizontal="center" vertical="center"/>
    </xf>
    <xf numFmtId="0" fontId="24" fillId="3" borderId="2" xfId="0" applyFont="1" applyFill="1" applyBorder="1" applyAlignment="1">
      <alignment horizontal="center" vertical="center"/>
    </xf>
    <xf numFmtId="0" fontId="24" fillId="3" borderId="3" xfId="0" applyFont="1" applyFill="1" applyBorder="1" applyAlignment="1">
      <alignment horizontal="center" vertical="center"/>
    </xf>
    <xf numFmtId="0" fontId="24" fillId="11" borderId="12" xfId="0" applyFont="1" applyFill="1" applyBorder="1" applyAlignment="1">
      <alignment horizontal="center" vertical="center"/>
    </xf>
    <xf numFmtId="0" fontId="24" fillId="11" borderId="2" xfId="0" applyFont="1" applyFill="1" applyBorder="1" applyAlignment="1">
      <alignment horizontal="center" vertical="center"/>
    </xf>
    <xf numFmtId="0" fontId="24" fillId="11" borderId="3" xfId="0" applyFont="1" applyFill="1" applyBorder="1" applyAlignment="1">
      <alignment horizontal="center" vertical="center"/>
    </xf>
    <xf numFmtId="0" fontId="26" fillId="10" borderId="1" xfId="0" applyFont="1" applyFill="1" applyBorder="1" applyAlignment="1">
      <alignment horizontal="center" vertical="center"/>
    </xf>
    <xf numFmtId="0" fontId="26" fillId="10" borderId="43" xfId="0" applyFont="1" applyFill="1" applyBorder="1" applyAlignment="1">
      <alignment horizontal="center" vertical="center"/>
    </xf>
    <xf numFmtId="0" fontId="55" fillId="10" borderId="44" xfId="0" applyFont="1" applyFill="1" applyBorder="1" applyAlignment="1">
      <alignment horizontal="center" vertical="center"/>
    </xf>
    <xf numFmtId="0" fontId="43" fillId="10" borderId="1" xfId="0" applyFont="1" applyFill="1" applyBorder="1" applyAlignment="1">
      <alignment horizontal="center" vertical="center" wrapText="1"/>
    </xf>
    <xf numFmtId="0" fontId="56" fillId="10" borderId="1" xfId="0" applyFont="1" applyFill="1" applyBorder="1" applyAlignment="1">
      <alignment horizontal="center" vertical="center" wrapText="1"/>
    </xf>
    <xf numFmtId="0" fontId="26" fillId="10" borderId="12" xfId="0" applyFont="1" applyFill="1" applyBorder="1" applyAlignment="1">
      <alignment horizontal="center" vertical="center"/>
    </xf>
    <xf numFmtId="0" fontId="26" fillId="10" borderId="3" xfId="0" applyFont="1" applyFill="1" applyBorder="1" applyAlignment="1">
      <alignment horizontal="center" vertical="center"/>
    </xf>
    <xf numFmtId="0" fontId="26" fillId="10" borderId="1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52" xfId="0" applyFont="1" applyFill="1" applyBorder="1" applyAlignment="1">
      <alignment horizontal="center" vertical="center"/>
    </xf>
    <xf numFmtId="0" fontId="11" fillId="3" borderId="34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0" fontId="11" fillId="3" borderId="36" xfId="0" applyFont="1" applyFill="1" applyBorder="1" applyAlignment="1">
      <alignment horizontal="center" vertical="center"/>
    </xf>
    <xf numFmtId="0" fontId="11" fillId="3" borderId="21" xfId="0" applyFont="1" applyFill="1" applyBorder="1" applyAlignment="1">
      <alignment horizontal="center" vertical="center"/>
    </xf>
    <xf numFmtId="0" fontId="11" fillId="3" borderId="27" xfId="0" applyFont="1" applyFill="1" applyBorder="1" applyAlignment="1">
      <alignment horizontal="center" vertical="center"/>
    </xf>
    <xf numFmtId="0" fontId="11" fillId="3" borderId="22" xfId="0" applyFont="1" applyFill="1" applyBorder="1" applyAlignment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Alignment="1" applyProtection="1">
      <alignment horizontal="center" vertical="center"/>
      <protection hidden="1"/>
    </xf>
    <xf numFmtId="0" fontId="43" fillId="11" borderId="5" xfId="0" applyFont="1" applyFill="1" applyBorder="1" applyAlignment="1" applyProtection="1">
      <alignment horizontal="center" vertical="center"/>
      <protection hidden="1"/>
    </xf>
    <xf numFmtId="0" fontId="43" fillId="11" borderId="6" xfId="0" applyFont="1" applyFill="1" applyBorder="1" applyAlignment="1" applyProtection="1">
      <alignment horizontal="center" vertical="center"/>
      <protection hidden="1"/>
    </xf>
    <xf numFmtId="0" fontId="36" fillId="10" borderId="5" xfId="0" applyFont="1" applyFill="1" applyBorder="1" applyAlignment="1">
      <alignment horizontal="center" vertical="center"/>
    </xf>
    <xf numFmtId="0" fontId="36" fillId="10" borderId="6" xfId="0" applyFont="1" applyFill="1" applyBorder="1" applyAlignment="1">
      <alignment horizontal="center" vertical="center"/>
    </xf>
    <xf numFmtId="0" fontId="36" fillId="10" borderId="7" xfId="0" applyFont="1" applyFill="1" applyBorder="1" applyAlignment="1">
      <alignment horizontal="center" vertical="center"/>
    </xf>
    <xf numFmtId="0" fontId="25" fillId="10" borderId="11" xfId="0" applyFont="1" applyFill="1" applyBorder="1" applyAlignment="1">
      <alignment horizontal="center" vertical="center"/>
    </xf>
    <xf numFmtId="0" fontId="25" fillId="10" borderId="8" xfId="0" applyFont="1" applyFill="1" applyBorder="1" applyAlignment="1">
      <alignment horizontal="center" vertical="center"/>
    </xf>
    <xf numFmtId="0" fontId="25" fillId="10" borderId="52" xfId="0" applyFont="1" applyFill="1" applyBorder="1" applyAlignment="1">
      <alignment horizontal="center" vertical="center"/>
    </xf>
    <xf numFmtId="0" fontId="26" fillId="11" borderId="5" xfId="0" applyFont="1" applyFill="1" applyBorder="1" applyAlignment="1">
      <alignment horizontal="center" vertical="center"/>
    </xf>
    <xf numFmtId="0" fontId="26" fillId="11" borderId="6" xfId="0" applyFont="1" applyFill="1" applyBorder="1" applyAlignment="1">
      <alignment horizontal="center" vertical="center"/>
    </xf>
    <xf numFmtId="0" fontId="26" fillId="11" borderId="7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5C2C04"/>
      <color rgb="FFCDCDCD"/>
      <color rgb="FFFA6F60"/>
      <color rgb="FFFFFF93"/>
      <color rgb="FF95B4E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ar-SY" b="0">
                <a:solidFill>
                  <a:srgbClr val="FF0000"/>
                </a:solidFill>
              </a:rPr>
              <a:t>تـــــوزع الإجــهــــادات عـــلـــــى طـــــــول الــجـــــائــــــز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توزع الإجهادات على طول الجائز</c:v>
          </c:tx>
          <c:spPr>
            <a:ln>
              <a:solidFill>
                <a:srgbClr val="FF0000"/>
              </a:solidFill>
            </a:ln>
          </c:spPr>
          <c:marker>
            <c:symbol val="circle"/>
            <c:size val="8"/>
            <c:spPr>
              <a:solidFill>
                <a:schemeClr val="accent1"/>
              </a:solidFill>
            </c:spPr>
          </c:marker>
          <c:dPt>
            <c:idx val="6"/>
            <c:marker>
              <c:symbol val="diamond"/>
              <c:size val="15"/>
            </c:marker>
            <c:bubble3D val="0"/>
          </c:dPt>
          <c:xVal>
            <c:numRef>
              <c:f>'2-تحديد الحمولات'!$A$9:$A$24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</c:numCache>
            </c:numRef>
          </c:xVal>
          <c:yVal>
            <c:numRef>
              <c:f>'2-تحديد الحمولات'!$H$9:$H$24</c:f>
              <c:numCache>
                <c:formatCode>0.00</c:formatCode>
                <c:ptCount val="16"/>
                <c:pt idx="0">
                  <c:v>25413.035818122069</c:v>
                </c:pt>
                <c:pt idx="1">
                  <c:v>26586.355311298128</c:v>
                </c:pt>
                <c:pt idx="2">
                  <c:v>27599.633914712169</c:v>
                </c:pt>
                <c:pt idx="3">
                  <c:v>28422.309121654307</c:v>
                </c:pt>
                <c:pt idx="4">
                  <c:v>29018.446213110819</c:v>
                </c:pt>
                <c:pt idx="5">
                  <c:v>29345.677837014482</c:v>
                </c:pt>
                <c:pt idx="6">
                  <c:v>29353.901881249985</c:v>
                </c:pt>
                <c:pt idx="7">
                  <c:v>28983.674032440758</c:v>
                </c:pt>
                <c:pt idx="8">
                  <c:v>28164.212213784143</c:v>
                </c:pt>
                <c:pt idx="9">
                  <c:v>26810.904302374005</c:v>
                </c:pt>
                <c:pt idx="10">
                  <c:v>24822.175582018706</c:v>
                </c:pt>
                <c:pt idx="11">
                  <c:v>22075.524621797449</c:v>
                </c:pt>
                <c:pt idx="12">
                  <c:v>17024.975149183181</c:v>
                </c:pt>
                <c:pt idx="13">
                  <c:v>11266.856818666698</c:v>
                </c:pt>
                <c:pt idx="14">
                  <c:v>5689.1022878392405</c:v>
                </c:pt>
                <c:pt idx="15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902272"/>
        <c:axId val="106333312"/>
      </c:scatterChart>
      <c:valAx>
        <c:axId val="46902272"/>
        <c:scaling>
          <c:orientation val="minMax"/>
          <c:max val="16"/>
          <c:min val="0"/>
        </c:scaling>
        <c:delete val="0"/>
        <c:axPos val="b"/>
        <c:min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106333312"/>
        <c:crosses val="autoZero"/>
        <c:crossBetween val="midCat"/>
        <c:majorUnit val="1"/>
        <c:minorUnit val="0.5"/>
      </c:valAx>
      <c:valAx>
        <c:axId val="106333312"/>
        <c:scaling>
          <c:orientation val="minMax"/>
        </c:scaling>
        <c:delete val="0"/>
        <c:axPos val="l"/>
        <c:majorGridlines/>
        <c:minorGridlines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ar-SY"/>
            </a:pPr>
            <a:endParaRPr lang="en-US"/>
          </a:p>
        </c:txPr>
        <c:crossAx val="46902272"/>
        <c:crossesAt val="0"/>
        <c:crossBetween val="midCat"/>
        <c:dispUnits>
          <c:builtInUnit val="tenThousands"/>
          <c:dispUnitsLbl>
            <c:layout/>
            <c:txPr>
              <a:bodyPr/>
              <a:lstStyle/>
              <a:p>
                <a:pPr>
                  <a:defRPr lang="ar-SY"/>
                </a:pPr>
                <a:endParaRPr lang="en-US"/>
              </a:p>
            </c:txPr>
          </c:dispUnitsLbl>
        </c:dispUnits>
      </c:valAx>
    </c:plotArea>
    <c:plotVisOnly val="1"/>
    <c:dispBlanksAs val="gap"/>
    <c:showDLblsOverMax val="0"/>
  </c:chart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ar-SY" sz="2000" b="0">
                <a:solidFill>
                  <a:srgbClr val="FF0000"/>
                </a:solidFill>
              </a:rPr>
              <a:t>مـســـــــــار الـــكـابــــــل لــنـصــــف</a:t>
            </a:r>
            <a:r>
              <a:rPr lang="ar-SY" sz="2000" b="0" baseline="0">
                <a:solidFill>
                  <a:srgbClr val="FF0000"/>
                </a:solidFill>
              </a:rPr>
              <a:t> الـــجـــائــــــــــز</a:t>
            </a:r>
            <a:endParaRPr lang="ar-SY" sz="2000" b="0">
              <a:solidFill>
                <a:srgbClr val="FF0000"/>
              </a:solidFill>
            </a:endParaRP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مسار الكبل</c:v>
          </c:tx>
          <c:spPr>
            <a:ln>
              <a:solidFill>
                <a:srgbClr val="FF0000"/>
              </a:solidFill>
            </a:ln>
          </c:spPr>
          <c:dLbls>
            <c:txPr>
              <a:bodyPr/>
              <a:lstStyle/>
              <a:p>
                <a:pPr>
                  <a:defRPr lang="ar-SY"/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'3- مسار الكابل'!$B$10:$B$25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</c:numCache>
            </c:numRef>
          </c:xVal>
          <c:yVal>
            <c:numRef>
              <c:f>'3- مسار الكابل'!$C$10:$C$25</c:f>
              <c:numCache>
                <c:formatCode>0.000</c:formatCode>
                <c:ptCount val="16"/>
                <c:pt idx="0">
                  <c:v>0.15</c:v>
                </c:pt>
                <c:pt idx="1">
                  <c:v>0.15211111111111111</c:v>
                </c:pt>
                <c:pt idx="2">
                  <c:v>0.15844444444444444</c:v>
                </c:pt>
                <c:pt idx="3">
                  <c:v>0.16899999999999998</c:v>
                </c:pt>
                <c:pt idx="4">
                  <c:v>0.18377777777777776</c:v>
                </c:pt>
                <c:pt idx="5">
                  <c:v>0.20277777777777772</c:v>
                </c:pt>
                <c:pt idx="6">
                  <c:v>0.22599999999999992</c:v>
                </c:pt>
                <c:pt idx="7">
                  <c:v>0.25344444444444436</c:v>
                </c:pt>
                <c:pt idx="8">
                  <c:v>0.28511111111111098</c:v>
                </c:pt>
                <c:pt idx="9">
                  <c:v>0.32099999999999984</c:v>
                </c:pt>
                <c:pt idx="10">
                  <c:v>0.36111111111111094</c:v>
                </c:pt>
                <c:pt idx="11">
                  <c:v>0.40544444444444427</c:v>
                </c:pt>
                <c:pt idx="12">
                  <c:v>0.45399999999999974</c:v>
                </c:pt>
                <c:pt idx="13">
                  <c:v>0.50677777777777755</c:v>
                </c:pt>
                <c:pt idx="14">
                  <c:v>0.56377777777777749</c:v>
                </c:pt>
                <c:pt idx="15">
                  <c:v>0.62499999999999967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20288"/>
        <c:axId val="47022080"/>
      </c:scatterChart>
      <c:valAx>
        <c:axId val="47020288"/>
        <c:scaling>
          <c:orientation val="minMax"/>
          <c:max val="15"/>
        </c:scaling>
        <c:delete val="0"/>
        <c:axPos val="b"/>
        <c:min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47022080"/>
        <c:crosses val="autoZero"/>
        <c:crossBetween val="midCat"/>
        <c:majorUnit val="1"/>
        <c:minorUnit val="0.5"/>
      </c:valAx>
      <c:valAx>
        <c:axId val="47022080"/>
        <c:scaling>
          <c:orientation val="minMax"/>
          <c:max val="0.70000000000000062"/>
          <c:min val="0"/>
        </c:scaling>
        <c:delete val="0"/>
        <c:axPos val="l"/>
        <c:majorGridlines/>
        <c:minorGridlines/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47020288"/>
        <c:crosses val="autoZero"/>
        <c:crossBetween val="midCat"/>
        <c:majorUnit val="0.1"/>
        <c:minorUnit val="0.05"/>
      </c:valAx>
    </c:plotArea>
    <c:plotVisOnly val="1"/>
    <c:dispBlanksAs val="gap"/>
    <c:showDLblsOverMax val="0"/>
  </c:chart>
  <c:printSettings>
    <c:headerFooter/>
    <c:pageMargins b="0.75000000000000477" l="0.70000000000000062" r="0.70000000000000062" t="0.750000000000004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ar-SY" b="0">
                <a:solidFill>
                  <a:srgbClr val="FF0000"/>
                </a:solidFill>
              </a:rPr>
              <a:t>تـــــوزع الإجــهــــادات عـــلـــــى طـــــــول الــجـــــائــــــز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توزع الإجهادات على طول الجائز</c:v>
          </c:tx>
          <c:spPr>
            <a:ln>
              <a:solidFill>
                <a:srgbClr val="FF0000"/>
              </a:solidFill>
            </a:ln>
          </c:spPr>
          <c:marker>
            <c:symbol val="circle"/>
            <c:size val="8"/>
            <c:spPr>
              <a:solidFill>
                <a:schemeClr val="accent1"/>
              </a:solidFill>
            </c:spPr>
          </c:marker>
          <c:dPt>
            <c:idx val="6"/>
            <c:marker>
              <c:symbol val="diamond"/>
              <c:size val="15"/>
            </c:marker>
            <c:bubble3D val="0"/>
          </c:dPt>
          <c:xVal>
            <c:numRef>
              <c:f>'2-تحديد الحمولات'!$A$9:$A$24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</c:numCache>
            </c:numRef>
          </c:xVal>
          <c:yVal>
            <c:numRef>
              <c:f>'2-تحديد الحمولات'!$H$9:$H$24</c:f>
              <c:numCache>
                <c:formatCode>0.00</c:formatCode>
                <c:ptCount val="16"/>
                <c:pt idx="0">
                  <c:v>25413.035818122069</c:v>
                </c:pt>
                <c:pt idx="1">
                  <c:v>26586.355311298128</c:v>
                </c:pt>
                <c:pt idx="2">
                  <c:v>27599.633914712169</c:v>
                </c:pt>
                <c:pt idx="3">
                  <c:v>28422.309121654307</c:v>
                </c:pt>
                <c:pt idx="4">
                  <c:v>29018.446213110819</c:v>
                </c:pt>
                <c:pt idx="5">
                  <c:v>29345.677837014482</c:v>
                </c:pt>
                <c:pt idx="6">
                  <c:v>29353.901881249985</c:v>
                </c:pt>
                <c:pt idx="7">
                  <c:v>28983.674032440758</c:v>
                </c:pt>
                <c:pt idx="8">
                  <c:v>28164.212213784143</c:v>
                </c:pt>
                <c:pt idx="9">
                  <c:v>26810.904302374005</c:v>
                </c:pt>
                <c:pt idx="10">
                  <c:v>24822.175582018706</c:v>
                </c:pt>
                <c:pt idx="11">
                  <c:v>22075.524621797449</c:v>
                </c:pt>
                <c:pt idx="12">
                  <c:v>17024.975149183181</c:v>
                </c:pt>
                <c:pt idx="13">
                  <c:v>11266.856818666698</c:v>
                </c:pt>
                <c:pt idx="14">
                  <c:v>5689.1022878392405</c:v>
                </c:pt>
                <c:pt idx="15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383872"/>
        <c:axId val="114386048"/>
      </c:scatterChart>
      <c:valAx>
        <c:axId val="114383872"/>
        <c:scaling>
          <c:orientation val="minMax"/>
          <c:max val="16"/>
          <c:min val="0"/>
        </c:scaling>
        <c:delete val="0"/>
        <c:axPos val="b"/>
        <c:min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114386048"/>
        <c:crosses val="autoZero"/>
        <c:crossBetween val="midCat"/>
        <c:majorUnit val="1"/>
        <c:minorUnit val="0.5"/>
      </c:valAx>
      <c:valAx>
        <c:axId val="114386048"/>
        <c:scaling>
          <c:orientation val="minMax"/>
        </c:scaling>
        <c:delete val="0"/>
        <c:axPos val="l"/>
        <c:majorGridlines/>
        <c:minorGridlines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ar-SY"/>
            </a:pPr>
            <a:endParaRPr lang="en-US"/>
          </a:p>
        </c:txPr>
        <c:crossAx val="114383872"/>
        <c:crossesAt val="0"/>
        <c:crossBetween val="midCat"/>
        <c:dispUnits>
          <c:builtInUnit val="tenThousands"/>
          <c:dispUnitsLbl>
            <c:txPr>
              <a:bodyPr/>
              <a:lstStyle/>
              <a:p>
                <a:pPr>
                  <a:defRPr lang="ar-SY"/>
                </a:pPr>
                <a:endParaRPr lang="en-US"/>
              </a:p>
            </c:txPr>
          </c:dispUnitsLbl>
        </c:dispUnits>
      </c:valAx>
    </c:plotArea>
    <c:plotVisOnly val="1"/>
    <c:dispBlanksAs val="gap"/>
    <c:showDLblsOverMax val="0"/>
  </c:chart>
  <c:printSettings>
    <c:headerFooter/>
    <c:pageMargins b="0.75000000000000511" l="0.70000000000000062" r="0.70000000000000062" t="0.750000000000005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8" Type="http://schemas.openxmlformats.org/officeDocument/2006/relationships/image" Target="../media/image18.png"/><Relationship Id="rId13" Type="http://schemas.openxmlformats.org/officeDocument/2006/relationships/image" Target="../media/image23.png"/><Relationship Id="rId18" Type="http://schemas.openxmlformats.org/officeDocument/2006/relationships/image" Target="../media/image28.png"/><Relationship Id="rId26" Type="http://schemas.openxmlformats.org/officeDocument/2006/relationships/image" Target="../media/image36.png"/><Relationship Id="rId3" Type="http://schemas.openxmlformats.org/officeDocument/2006/relationships/image" Target="../media/image13.png"/><Relationship Id="rId21" Type="http://schemas.openxmlformats.org/officeDocument/2006/relationships/image" Target="../media/image31.png"/><Relationship Id="rId7" Type="http://schemas.openxmlformats.org/officeDocument/2006/relationships/image" Target="../media/image17.png"/><Relationship Id="rId12" Type="http://schemas.openxmlformats.org/officeDocument/2006/relationships/image" Target="../media/image22.png"/><Relationship Id="rId17" Type="http://schemas.openxmlformats.org/officeDocument/2006/relationships/image" Target="../media/image27.png"/><Relationship Id="rId25" Type="http://schemas.openxmlformats.org/officeDocument/2006/relationships/image" Target="../media/image35.png"/><Relationship Id="rId2" Type="http://schemas.openxmlformats.org/officeDocument/2006/relationships/image" Target="../media/image12.png"/><Relationship Id="rId16" Type="http://schemas.openxmlformats.org/officeDocument/2006/relationships/image" Target="../media/image26.png"/><Relationship Id="rId20" Type="http://schemas.openxmlformats.org/officeDocument/2006/relationships/image" Target="../media/image30.png"/><Relationship Id="rId29" Type="http://schemas.openxmlformats.org/officeDocument/2006/relationships/image" Target="../media/image39.png"/><Relationship Id="rId1" Type="http://schemas.openxmlformats.org/officeDocument/2006/relationships/image" Target="../media/image11.png"/><Relationship Id="rId6" Type="http://schemas.openxmlformats.org/officeDocument/2006/relationships/image" Target="../media/image16.png"/><Relationship Id="rId11" Type="http://schemas.openxmlformats.org/officeDocument/2006/relationships/image" Target="../media/image21.png"/><Relationship Id="rId24" Type="http://schemas.openxmlformats.org/officeDocument/2006/relationships/image" Target="../media/image34.png"/><Relationship Id="rId32" Type="http://schemas.openxmlformats.org/officeDocument/2006/relationships/image" Target="../media/image42.png"/><Relationship Id="rId5" Type="http://schemas.openxmlformats.org/officeDocument/2006/relationships/image" Target="../media/image15.png"/><Relationship Id="rId15" Type="http://schemas.openxmlformats.org/officeDocument/2006/relationships/image" Target="../media/image25.png"/><Relationship Id="rId23" Type="http://schemas.openxmlformats.org/officeDocument/2006/relationships/image" Target="../media/image33.png"/><Relationship Id="rId28" Type="http://schemas.openxmlformats.org/officeDocument/2006/relationships/image" Target="../media/image38.png"/><Relationship Id="rId10" Type="http://schemas.openxmlformats.org/officeDocument/2006/relationships/image" Target="../media/image20.png"/><Relationship Id="rId19" Type="http://schemas.openxmlformats.org/officeDocument/2006/relationships/image" Target="../media/image29.png"/><Relationship Id="rId31" Type="http://schemas.openxmlformats.org/officeDocument/2006/relationships/image" Target="../media/image41.png"/><Relationship Id="rId4" Type="http://schemas.openxmlformats.org/officeDocument/2006/relationships/image" Target="../media/image14.png"/><Relationship Id="rId9" Type="http://schemas.openxmlformats.org/officeDocument/2006/relationships/image" Target="../media/image19.png"/><Relationship Id="rId14" Type="http://schemas.openxmlformats.org/officeDocument/2006/relationships/image" Target="../media/image24.png"/><Relationship Id="rId22" Type="http://schemas.openxmlformats.org/officeDocument/2006/relationships/image" Target="../media/image32.png"/><Relationship Id="rId27" Type="http://schemas.openxmlformats.org/officeDocument/2006/relationships/image" Target="../media/image37.png"/><Relationship Id="rId30" Type="http://schemas.openxmlformats.org/officeDocument/2006/relationships/image" Target="../media/image40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45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image" Target="../media/image6.png"/><Relationship Id="rId4" Type="http://schemas.openxmlformats.org/officeDocument/2006/relationships/image" Target="../media/image9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8" Type="http://schemas.openxmlformats.org/officeDocument/2006/relationships/image" Target="../media/image18.png"/><Relationship Id="rId13" Type="http://schemas.openxmlformats.org/officeDocument/2006/relationships/image" Target="../media/image23.png"/><Relationship Id="rId18" Type="http://schemas.openxmlformats.org/officeDocument/2006/relationships/image" Target="../media/image28.png"/><Relationship Id="rId26" Type="http://schemas.openxmlformats.org/officeDocument/2006/relationships/image" Target="../media/image36.png"/><Relationship Id="rId3" Type="http://schemas.openxmlformats.org/officeDocument/2006/relationships/image" Target="../media/image13.png"/><Relationship Id="rId21" Type="http://schemas.openxmlformats.org/officeDocument/2006/relationships/image" Target="../media/image31.png"/><Relationship Id="rId7" Type="http://schemas.openxmlformats.org/officeDocument/2006/relationships/image" Target="../media/image17.png"/><Relationship Id="rId12" Type="http://schemas.openxmlformats.org/officeDocument/2006/relationships/image" Target="../media/image22.png"/><Relationship Id="rId17" Type="http://schemas.openxmlformats.org/officeDocument/2006/relationships/image" Target="../media/image27.png"/><Relationship Id="rId25" Type="http://schemas.openxmlformats.org/officeDocument/2006/relationships/image" Target="../media/image35.png"/><Relationship Id="rId2" Type="http://schemas.openxmlformats.org/officeDocument/2006/relationships/image" Target="../media/image12.png"/><Relationship Id="rId16" Type="http://schemas.openxmlformats.org/officeDocument/2006/relationships/image" Target="../media/image26.png"/><Relationship Id="rId20" Type="http://schemas.openxmlformats.org/officeDocument/2006/relationships/image" Target="../media/image30.png"/><Relationship Id="rId29" Type="http://schemas.openxmlformats.org/officeDocument/2006/relationships/image" Target="../media/image39.png"/><Relationship Id="rId1" Type="http://schemas.openxmlformats.org/officeDocument/2006/relationships/image" Target="../media/image11.png"/><Relationship Id="rId6" Type="http://schemas.openxmlformats.org/officeDocument/2006/relationships/image" Target="../media/image16.png"/><Relationship Id="rId11" Type="http://schemas.openxmlformats.org/officeDocument/2006/relationships/image" Target="../media/image21.png"/><Relationship Id="rId24" Type="http://schemas.openxmlformats.org/officeDocument/2006/relationships/image" Target="../media/image34.png"/><Relationship Id="rId32" Type="http://schemas.openxmlformats.org/officeDocument/2006/relationships/image" Target="../media/image42.png"/><Relationship Id="rId5" Type="http://schemas.openxmlformats.org/officeDocument/2006/relationships/image" Target="../media/image15.png"/><Relationship Id="rId15" Type="http://schemas.openxmlformats.org/officeDocument/2006/relationships/image" Target="../media/image25.png"/><Relationship Id="rId23" Type="http://schemas.openxmlformats.org/officeDocument/2006/relationships/image" Target="../media/image33.png"/><Relationship Id="rId28" Type="http://schemas.openxmlformats.org/officeDocument/2006/relationships/image" Target="../media/image38.png"/><Relationship Id="rId10" Type="http://schemas.openxmlformats.org/officeDocument/2006/relationships/image" Target="../media/image20.png"/><Relationship Id="rId19" Type="http://schemas.openxmlformats.org/officeDocument/2006/relationships/image" Target="../media/image29.png"/><Relationship Id="rId31" Type="http://schemas.openxmlformats.org/officeDocument/2006/relationships/image" Target="../media/image41.png"/><Relationship Id="rId4" Type="http://schemas.openxmlformats.org/officeDocument/2006/relationships/image" Target="../media/image14.png"/><Relationship Id="rId9" Type="http://schemas.openxmlformats.org/officeDocument/2006/relationships/image" Target="../media/image19.png"/><Relationship Id="rId14" Type="http://schemas.openxmlformats.org/officeDocument/2006/relationships/image" Target="../media/image24.png"/><Relationship Id="rId22" Type="http://schemas.openxmlformats.org/officeDocument/2006/relationships/image" Target="../media/image32.png"/><Relationship Id="rId27" Type="http://schemas.openxmlformats.org/officeDocument/2006/relationships/image" Target="../media/image37.png"/><Relationship Id="rId30" Type="http://schemas.openxmlformats.org/officeDocument/2006/relationships/image" Target="../media/image40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44.emf"/><Relationship Id="rId1" Type="http://schemas.openxmlformats.org/officeDocument/2006/relationships/image" Target="../media/image4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225425</xdr:colOff>
      <xdr:row>1</xdr:row>
      <xdr:rowOff>50805</xdr:rowOff>
    </xdr:from>
    <xdr:to>
      <xdr:col>19</xdr:col>
      <xdr:colOff>373061</xdr:colOff>
      <xdr:row>6</xdr:row>
      <xdr:rowOff>222117</xdr:rowOff>
    </xdr:to>
    <xdr:pic>
      <xdr:nvPicPr>
        <xdr:cNvPr id="410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5425" y="250830"/>
          <a:ext cx="9739311" cy="1123812"/>
        </a:xfrm>
        <a:prstGeom prst="rect">
          <a:avLst/>
        </a:prstGeom>
        <a:noFill/>
      </xdr:spPr>
    </xdr:pic>
    <xdr:clientData/>
  </xdr:twoCellAnchor>
  <xdr:twoCellAnchor>
    <xdr:from>
      <xdr:col>1</xdr:col>
      <xdr:colOff>104778</xdr:colOff>
      <xdr:row>8</xdr:row>
      <xdr:rowOff>119062</xdr:rowOff>
    </xdr:from>
    <xdr:to>
      <xdr:col>19</xdr:col>
      <xdr:colOff>7939</xdr:colOff>
      <xdr:row>8</xdr:row>
      <xdr:rowOff>120652</xdr:rowOff>
    </xdr:to>
    <xdr:cxnSp macro="">
      <xdr:nvCxnSpPr>
        <xdr:cNvPr id="8" name="رابط كسهم مستقيم 7"/>
        <xdr:cNvCxnSpPr/>
      </xdr:nvCxnSpPr>
      <xdr:spPr>
        <a:xfrm rot="10800000" flipV="1">
          <a:off x="612778" y="1682750"/>
          <a:ext cx="9047161" cy="1590"/>
        </a:xfrm>
        <a:prstGeom prst="straightConnector1">
          <a:avLst/>
        </a:prstGeom>
        <a:ln w="1270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100265</xdr:colOff>
      <xdr:row>6</xdr:row>
      <xdr:rowOff>134471</xdr:rowOff>
    </xdr:from>
    <xdr:to>
      <xdr:col>3</xdr:col>
      <xdr:colOff>151281</xdr:colOff>
      <xdr:row>6</xdr:row>
      <xdr:rowOff>135359</xdr:rowOff>
    </xdr:to>
    <xdr:cxnSp macro="">
      <xdr:nvCxnSpPr>
        <xdr:cNvPr id="12" name="رابط كسهم مستقيم 11"/>
        <xdr:cNvCxnSpPr/>
      </xdr:nvCxnSpPr>
      <xdr:spPr>
        <a:xfrm rot="10800000" flipV="1">
          <a:off x="604530" y="1277471"/>
          <a:ext cx="1059545" cy="888"/>
        </a:xfrm>
        <a:prstGeom prst="straightConnector1">
          <a:avLst/>
        </a:prstGeom>
        <a:ln w="1270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480453</xdr:colOff>
      <xdr:row>6</xdr:row>
      <xdr:rowOff>151279</xdr:rowOff>
    </xdr:from>
    <xdr:to>
      <xdr:col>19</xdr:col>
      <xdr:colOff>252133</xdr:colOff>
      <xdr:row>6</xdr:row>
      <xdr:rowOff>155203</xdr:rowOff>
    </xdr:to>
    <xdr:cxnSp macro="">
      <xdr:nvCxnSpPr>
        <xdr:cNvPr id="22" name="رابط كسهم مستقيم 21"/>
        <xdr:cNvCxnSpPr/>
      </xdr:nvCxnSpPr>
      <xdr:spPr>
        <a:xfrm rot="10800000" flipV="1">
          <a:off x="9557218" y="1294279"/>
          <a:ext cx="275944" cy="3924"/>
        </a:xfrm>
        <a:prstGeom prst="straightConnector1">
          <a:avLst/>
        </a:prstGeom>
        <a:ln w="1270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244929</xdr:colOff>
      <xdr:row>7</xdr:row>
      <xdr:rowOff>89581</xdr:rowOff>
    </xdr:from>
    <xdr:to>
      <xdr:col>18</xdr:col>
      <xdr:colOff>481855</xdr:colOff>
      <xdr:row>7</xdr:row>
      <xdr:rowOff>97304</xdr:rowOff>
    </xdr:to>
    <xdr:cxnSp macro="">
      <xdr:nvCxnSpPr>
        <xdr:cNvPr id="49" name="رابط كسهم مستقيم 48"/>
        <xdr:cNvCxnSpPr/>
      </xdr:nvCxnSpPr>
      <xdr:spPr>
        <a:xfrm rot="10800000">
          <a:off x="9388929" y="1462769"/>
          <a:ext cx="236926" cy="7723"/>
        </a:xfrm>
        <a:prstGeom prst="straightConnector1">
          <a:avLst/>
        </a:prstGeom>
        <a:ln w="1270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420221</xdr:colOff>
      <xdr:row>7</xdr:row>
      <xdr:rowOff>83763</xdr:rowOff>
    </xdr:from>
    <xdr:to>
      <xdr:col>18</xdr:col>
      <xdr:colOff>257741</xdr:colOff>
      <xdr:row>7</xdr:row>
      <xdr:rowOff>87778</xdr:rowOff>
    </xdr:to>
    <xdr:cxnSp macro="">
      <xdr:nvCxnSpPr>
        <xdr:cNvPr id="51" name="رابط كسهم مستقيم 50"/>
        <xdr:cNvCxnSpPr/>
      </xdr:nvCxnSpPr>
      <xdr:spPr>
        <a:xfrm rot="10800000" flipV="1">
          <a:off x="8548221" y="1456951"/>
          <a:ext cx="853520" cy="4015"/>
        </a:xfrm>
        <a:prstGeom prst="straightConnector1">
          <a:avLst/>
        </a:prstGeom>
        <a:ln w="1270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373062</xdr:colOff>
      <xdr:row>2</xdr:row>
      <xdr:rowOff>23813</xdr:rowOff>
    </xdr:from>
    <xdr:to>
      <xdr:col>7</xdr:col>
      <xdr:colOff>95250</xdr:colOff>
      <xdr:row>2</xdr:row>
      <xdr:rowOff>111125</xdr:rowOff>
    </xdr:to>
    <xdr:cxnSp macro="">
      <xdr:nvCxnSpPr>
        <xdr:cNvPr id="62" name="رابط كسهم مستقيم 61"/>
        <xdr:cNvCxnSpPr/>
      </xdr:nvCxnSpPr>
      <xdr:spPr>
        <a:xfrm flipV="1">
          <a:off x="2405062" y="404813"/>
          <a:ext cx="1246188" cy="87312"/>
        </a:xfrm>
        <a:prstGeom prst="straightConnector1">
          <a:avLst/>
        </a:prstGeom>
        <a:ln w="127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444501</xdr:colOff>
      <xdr:row>2</xdr:row>
      <xdr:rowOff>31751</xdr:rowOff>
    </xdr:from>
    <xdr:to>
      <xdr:col>15</xdr:col>
      <xdr:colOff>269876</xdr:colOff>
      <xdr:row>2</xdr:row>
      <xdr:rowOff>119063</xdr:rowOff>
    </xdr:to>
    <xdr:cxnSp macro="">
      <xdr:nvCxnSpPr>
        <xdr:cNvPr id="64" name="رابط كسهم مستقيم 63"/>
        <xdr:cNvCxnSpPr/>
      </xdr:nvCxnSpPr>
      <xdr:spPr>
        <a:xfrm rot="10800000">
          <a:off x="6540501" y="412751"/>
          <a:ext cx="1349375" cy="87312"/>
        </a:xfrm>
        <a:prstGeom prst="straightConnector1">
          <a:avLst/>
        </a:prstGeom>
        <a:ln w="127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46037</xdr:colOff>
      <xdr:row>1</xdr:row>
      <xdr:rowOff>51599</xdr:rowOff>
    </xdr:from>
    <xdr:to>
      <xdr:col>10</xdr:col>
      <xdr:colOff>47625</xdr:colOff>
      <xdr:row>6</xdr:row>
      <xdr:rowOff>222911</xdr:rowOff>
    </xdr:to>
    <xdr:cxnSp macro="">
      <xdr:nvCxnSpPr>
        <xdr:cNvPr id="69" name="رابط مستقيم 68"/>
        <xdr:cNvCxnSpPr>
          <a:stCxn id="4102" idx="0"/>
          <a:endCxn id="4102" idx="2"/>
        </xdr:cNvCxnSpPr>
      </xdr:nvCxnSpPr>
      <xdr:spPr>
        <a:xfrm rot="16200000" flipH="1">
          <a:off x="4533175" y="803211"/>
          <a:ext cx="1123812" cy="1588"/>
        </a:xfrm>
        <a:prstGeom prst="line">
          <a:avLst/>
        </a:prstGeom>
        <a:ln w="15875">
          <a:solidFill>
            <a:srgbClr val="FF0000"/>
          </a:solidFill>
          <a:prstDash val="dash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103982</xdr:colOff>
      <xdr:row>1</xdr:row>
      <xdr:rowOff>76993</xdr:rowOff>
    </xdr:from>
    <xdr:to>
      <xdr:col>1</xdr:col>
      <xdr:colOff>105570</xdr:colOff>
      <xdr:row>6</xdr:row>
      <xdr:rowOff>172242</xdr:rowOff>
    </xdr:to>
    <xdr:cxnSp macro="">
      <xdr:nvCxnSpPr>
        <xdr:cNvPr id="71" name="رابط مستقيم 70"/>
        <xdr:cNvCxnSpPr/>
      </xdr:nvCxnSpPr>
      <xdr:spPr>
        <a:xfrm rot="5400000">
          <a:off x="85726" y="790574"/>
          <a:ext cx="1047749" cy="1588"/>
        </a:xfrm>
        <a:prstGeom prst="line">
          <a:avLst/>
        </a:prstGeom>
        <a:ln w="15875">
          <a:solidFill>
            <a:srgbClr val="FF0000"/>
          </a:solidFill>
          <a:prstDash val="dash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6</xdr:row>
      <xdr:rowOff>0</xdr:rowOff>
    </xdr:from>
    <xdr:to>
      <xdr:col>0</xdr:col>
      <xdr:colOff>619125</xdr:colOff>
      <xdr:row>7</xdr:row>
      <xdr:rowOff>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95250" y="1609725"/>
          <a:ext cx="523875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352425</xdr:colOff>
      <xdr:row>8</xdr:row>
      <xdr:rowOff>0</xdr:rowOff>
    </xdr:from>
    <xdr:to>
      <xdr:col>5</xdr:col>
      <xdr:colOff>561975</xdr:colOff>
      <xdr:row>9</xdr:row>
      <xdr:rowOff>0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52425" y="2400300"/>
          <a:ext cx="3790950" cy="3143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533400</xdr:colOff>
      <xdr:row>9</xdr:row>
      <xdr:rowOff>0</xdr:rowOff>
    </xdr:from>
    <xdr:to>
      <xdr:col>5</xdr:col>
      <xdr:colOff>180975</xdr:colOff>
      <xdr:row>10</xdr:row>
      <xdr:rowOff>0</xdr:rowOff>
    </xdr:to>
    <xdr:pic>
      <xdr:nvPicPr>
        <xdr:cNvPr id="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33400" y="2714625"/>
          <a:ext cx="3228975" cy="2952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123825</xdr:colOff>
      <xdr:row>10</xdr:row>
      <xdr:rowOff>19050</xdr:rowOff>
    </xdr:from>
    <xdr:to>
      <xdr:col>0</xdr:col>
      <xdr:colOff>571500</xdr:colOff>
      <xdr:row>11</xdr:row>
      <xdr:rowOff>0</xdr:rowOff>
    </xdr:to>
    <xdr:pic>
      <xdr:nvPicPr>
        <xdr:cNvPr id="5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23825" y="3028950"/>
          <a:ext cx="447675" cy="2381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85725</xdr:colOff>
      <xdr:row>11</xdr:row>
      <xdr:rowOff>19050</xdr:rowOff>
    </xdr:from>
    <xdr:to>
      <xdr:col>0</xdr:col>
      <xdr:colOff>609600</xdr:colOff>
      <xdr:row>12</xdr:row>
      <xdr:rowOff>0</xdr:rowOff>
    </xdr:to>
    <xdr:pic>
      <xdr:nvPicPr>
        <xdr:cNvPr id="6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85725" y="3286125"/>
          <a:ext cx="523875" cy="2476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171450</xdr:colOff>
      <xdr:row>13</xdr:row>
      <xdr:rowOff>38100</xdr:rowOff>
    </xdr:from>
    <xdr:to>
      <xdr:col>2</xdr:col>
      <xdr:colOff>447675</xdr:colOff>
      <xdr:row>15</xdr:row>
      <xdr:rowOff>0</xdr:rowOff>
    </xdr:to>
    <xdr:pic>
      <xdr:nvPicPr>
        <xdr:cNvPr id="7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71450" y="3838575"/>
          <a:ext cx="1800225" cy="4762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85725</xdr:colOff>
      <xdr:row>15</xdr:row>
      <xdr:rowOff>19050</xdr:rowOff>
    </xdr:from>
    <xdr:to>
      <xdr:col>0</xdr:col>
      <xdr:colOff>638175</xdr:colOff>
      <xdr:row>16</xdr:row>
      <xdr:rowOff>0</xdr:rowOff>
    </xdr:to>
    <xdr:pic>
      <xdr:nvPicPr>
        <xdr:cNvPr id="8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85725" y="4333875"/>
          <a:ext cx="552450" cy="2381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57150</xdr:colOff>
      <xdr:row>17</xdr:row>
      <xdr:rowOff>0</xdr:rowOff>
    </xdr:from>
    <xdr:to>
      <xdr:col>0</xdr:col>
      <xdr:colOff>676275</xdr:colOff>
      <xdr:row>18</xdr:row>
      <xdr:rowOff>0</xdr:rowOff>
    </xdr:to>
    <xdr:pic>
      <xdr:nvPicPr>
        <xdr:cNvPr id="9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7150" y="4829175"/>
          <a:ext cx="619125" cy="2571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47625</xdr:colOff>
      <xdr:row>18</xdr:row>
      <xdr:rowOff>0</xdr:rowOff>
    </xdr:from>
    <xdr:to>
      <xdr:col>0</xdr:col>
      <xdr:colOff>666750</xdr:colOff>
      <xdr:row>19</xdr:row>
      <xdr:rowOff>47625</xdr:rowOff>
    </xdr:to>
    <xdr:pic>
      <xdr:nvPicPr>
        <xdr:cNvPr id="10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7625" y="5086350"/>
          <a:ext cx="619125" cy="304800"/>
        </a:xfrm>
        <a:prstGeom prst="rect">
          <a:avLst/>
        </a:prstGeom>
        <a:noFill/>
      </xdr:spPr>
    </xdr:pic>
    <xdr:clientData/>
  </xdr:twoCellAnchor>
  <xdr:twoCellAnchor>
    <xdr:from>
      <xdr:col>2</xdr:col>
      <xdr:colOff>47625</xdr:colOff>
      <xdr:row>18</xdr:row>
      <xdr:rowOff>0</xdr:rowOff>
    </xdr:from>
    <xdr:to>
      <xdr:col>2</xdr:col>
      <xdr:colOff>342900</xdr:colOff>
      <xdr:row>19</xdr:row>
      <xdr:rowOff>47625</xdr:rowOff>
    </xdr:to>
    <xdr:pic>
      <xdr:nvPicPr>
        <xdr:cNvPr id="11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571625" y="5086350"/>
          <a:ext cx="295275" cy="3048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257175</xdr:colOff>
      <xdr:row>22</xdr:row>
      <xdr:rowOff>28575</xdr:rowOff>
    </xdr:from>
    <xdr:to>
      <xdr:col>1</xdr:col>
      <xdr:colOff>371475</xdr:colOff>
      <xdr:row>22</xdr:row>
      <xdr:rowOff>247650</xdr:rowOff>
    </xdr:to>
    <xdr:pic>
      <xdr:nvPicPr>
        <xdr:cNvPr id="12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57175" y="6172200"/>
          <a:ext cx="800100" cy="2190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104775</xdr:colOff>
      <xdr:row>23</xdr:row>
      <xdr:rowOff>9525</xdr:rowOff>
    </xdr:from>
    <xdr:to>
      <xdr:col>0</xdr:col>
      <xdr:colOff>638175</xdr:colOff>
      <xdr:row>24</xdr:row>
      <xdr:rowOff>0</xdr:rowOff>
    </xdr:to>
    <xdr:pic>
      <xdr:nvPicPr>
        <xdr:cNvPr id="13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4775" y="6410325"/>
          <a:ext cx="533400" cy="2571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180975</xdr:colOff>
      <xdr:row>25</xdr:row>
      <xdr:rowOff>9525</xdr:rowOff>
    </xdr:from>
    <xdr:to>
      <xdr:col>1</xdr:col>
      <xdr:colOff>571500</xdr:colOff>
      <xdr:row>26</xdr:row>
      <xdr:rowOff>9525</xdr:rowOff>
    </xdr:to>
    <xdr:pic>
      <xdr:nvPicPr>
        <xdr:cNvPr id="14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80975" y="6943725"/>
          <a:ext cx="1076325" cy="2571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142875</xdr:colOff>
      <xdr:row>25</xdr:row>
      <xdr:rowOff>247650</xdr:rowOff>
    </xdr:from>
    <xdr:to>
      <xdr:col>0</xdr:col>
      <xdr:colOff>590550</xdr:colOff>
      <xdr:row>26</xdr:row>
      <xdr:rowOff>247650</xdr:rowOff>
    </xdr:to>
    <xdr:pic>
      <xdr:nvPicPr>
        <xdr:cNvPr id="15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42875" y="7181850"/>
          <a:ext cx="447675" cy="2571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161925</xdr:colOff>
      <xdr:row>27</xdr:row>
      <xdr:rowOff>28575</xdr:rowOff>
    </xdr:from>
    <xdr:to>
      <xdr:col>0</xdr:col>
      <xdr:colOff>495300</xdr:colOff>
      <xdr:row>28</xdr:row>
      <xdr:rowOff>28575</xdr:rowOff>
    </xdr:to>
    <xdr:pic>
      <xdr:nvPicPr>
        <xdr:cNvPr id="16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61925" y="7477125"/>
          <a:ext cx="333375" cy="2571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114300</xdr:colOff>
      <xdr:row>28</xdr:row>
      <xdr:rowOff>0</xdr:rowOff>
    </xdr:from>
    <xdr:to>
      <xdr:col>0</xdr:col>
      <xdr:colOff>638175</xdr:colOff>
      <xdr:row>29</xdr:row>
      <xdr:rowOff>0</xdr:rowOff>
    </xdr:to>
    <xdr:pic>
      <xdr:nvPicPr>
        <xdr:cNvPr id="17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4300" y="7705725"/>
          <a:ext cx="523875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352425</xdr:colOff>
      <xdr:row>30</xdr:row>
      <xdr:rowOff>95250</xdr:rowOff>
    </xdr:from>
    <xdr:to>
      <xdr:col>3</xdr:col>
      <xdr:colOff>295275</xdr:colOff>
      <xdr:row>32</xdr:row>
      <xdr:rowOff>152400</xdr:rowOff>
    </xdr:to>
    <xdr:pic>
      <xdr:nvPicPr>
        <xdr:cNvPr id="18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52425" y="8001000"/>
          <a:ext cx="3240881" cy="5810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266700</xdr:colOff>
      <xdr:row>33</xdr:row>
      <xdr:rowOff>104775</xdr:rowOff>
    </xdr:from>
    <xdr:to>
      <xdr:col>3</xdr:col>
      <xdr:colOff>266700</xdr:colOff>
      <xdr:row>35</xdr:row>
      <xdr:rowOff>152400</xdr:rowOff>
    </xdr:to>
    <xdr:pic>
      <xdr:nvPicPr>
        <xdr:cNvPr id="19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66700" y="9105900"/>
          <a:ext cx="2209800" cy="5619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123825</xdr:colOff>
      <xdr:row>36</xdr:row>
      <xdr:rowOff>247650</xdr:rowOff>
    </xdr:from>
    <xdr:to>
      <xdr:col>0</xdr:col>
      <xdr:colOff>504825</xdr:colOff>
      <xdr:row>38</xdr:row>
      <xdr:rowOff>9525</xdr:rowOff>
    </xdr:to>
    <xdr:pic>
      <xdr:nvPicPr>
        <xdr:cNvPr id="20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23825" y="10020300"/>
          <a:ext cx="381000" cy="2762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104775</xdr:colOff>
      <xdr:row>38</xdr:row>
      <xdr:rowOff>9525</xdr:rowOff>
    </xdr:from>
    <xdr:to>
      <xdr:col>0</xdr:col>
      <xdr:colOff>581025</xdr:colOff>
      <xdr:row>39</xdr:row>
      <xdr:rowOff>0</xdr:rowOff>
    </xdr:to>
    <xdr:pic>
      <xdr:nvPicPr>
        <xdr:cNvPr id="21" name="Picture 22"/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4775" y="10296525"/>
          <a:ext cx="476250" cy="247650"/>
        </a:xfrm>
        <a:prstGeom prst="rect">
          <a:avLst/>
        </a:prstGeom>
        <a:noFill/>
      </xdr:spPr>
    </xdr:pic>
    <xdr:clientData/>
  </xdr:twoCellAnchor>
  <xdr:twoCellAnchor>
    <xdr:from>
      <xdr:col>4</xdr:col>
      <xdr:colOff>152400</xdr:colOff>
      <xdr:row>37</xdr:row>
      <xdr:rowOff>9525</xdr:rowOff>
    </xdr:from>
    <xdr:to>
      <xdr:col>4</xdr:col>
      <xdr:colOff>581025</xdr:colOff>
      <xdr:row>38</xdr:row>
      <xdr:rowOff>28575</xdr:rowOff>
    </xdr:to>
    <xdr:pic>
      <xdr:nvPicPr>
        <xdr:cNvPr id="22" name="Picture 23"/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048000" y="10039350"/>
          <a:ext cx="428625" cy="2762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247650</xdr:colOff>
      <xdr:row>3</xdr:row>
      <xdr:rowOff>95250</xdr:rowOff>
    </xdr:from>
    <xdr:to>
      <xdr:col>3</xdr:col>
      <xdr:colOff>247650</xdr:colOff>
      <xdr:row>5</xdr:row>
      <xdr:rowOff>171450</xdr:rowOff>
    </xdr:to>
    <xdr:pic>
      <xdr:nvPicPr>
        <xdr:cNvPr id="23" name="Picture 24"/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47650" y="933450"/>
          <a:ext cx="2209800" cy="5905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228600</xdr:colOff>
      <xdr:row>40</xdr:row>
      <xdr:rowOff>9525</xdr:rowOff>
    </xdr:from>
    <xdr:to>
      <xdr:col>2</xdr:col>
      <xdr:colOff>381000</xdr:colOff>
      <xdr:row>41</xdr:row>
      <xdr:rowOff>0</xdr:rowOff>
    </xdr:to>
    <xdr:pic>
      <xdr:nvPicPr>
        <xdr:cNvPr id="2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28600" y="10706100"/>
          <a:ext cx="1676400" cy="2476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209550</xdr:colOff>
      <xdr:row>41</xdr:row>
      <xdr:rowOff>9525</xdr:rowOff>
    </xdr:from>
    <xdr:to>
      <xdr:col>0</xdr:col>
      <xdr:colOff>619125</xdr:colOff>
      <xdr:row>42</xdr:row>
      <xdr:rowOff>28575</xdr:rowOff>
    </xdr:to>
    <xdr:pic>
      <xdr:nvPicPr>
        <xdr:cNvPr id="25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09550" y="10963275"/>
          <a:ext cx="409575" cy="2762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133350</xdr:colOff>
      <xdr:row>42</xdr:row>
      <xdr:rowOff>0</xdr:rowOff>
    </xdr:from>
    <xdr:to>
      <xdr:col>0</xdr:col>
      <xdr:colOff>609600</xdr:colOff>
      <xdr:row>43</xdr:row>
      <xdr:rowOff>19050</xdr:rowOff>
    </xdr:to>
    <xdr:pic>
      <xdr:nvPicPr>
        <xdr:cNvPr id="26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33350" y="11210925"/>
          <a:ext cx="476250" cy="2762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152400</xdr:colOff>
      <xdr:row>43</xdr:row>
      <xdr:rowOff>38100</xdr:rowOff>
    </xdr:from>
    <xdr:to>
      <xdr:col>0</xdr:col>
      <xdr:colOff>571500</xdr:colOff>
      <xdr:row>44</xdr:row>
      <xdr:rowOff>57150</xdr:rowOff>
    </xdr:to>
    <xdr:pic>
      <xdr:nvPicPr>
        <xdr:cNvPr id="27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52400" y="11506200"/>
          <a:ext cx="419100" cy="2762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171450</xdr:colOff>
      <xdr:row>44</xdr:row>
      <xdr:rowOff>28575</xdr:rowOff>
    </xdr:from>
    <xdr:to>
      <xdr:col>0</xdr:col>
      <xdr:colOff>581025</xdr:colOff>
      <xdr:row>45</xdr:row>
      <xdr:rowOff>47625</xdr:rowOff>
    </xdr:to>
    <xdr:pic>
      <xdr:nvPicPr>
        <xdr:cNvPr id="28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71450" y="11753850"/>
          <a:ext cx="409575" cy="2762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152400</xdr:colOff>
      <xdr:row>45</xdr:row>
      <xdr:rowOff>9525</xdr:rowOff>
    </xdr:from>
    <xdr:to>
      <xdr:col>0</xdr:col>
      <xdr:colOff>552450</xdr:colOff>
      <xdr:row>46</xdr:row>
      <xdr:rowOff>0</xdr:rowOff>
    </xdr:to>
    <xdr:pic>
      <xdr:nvPicPr>
        <xdr:cNvPr id="29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52400" y="11991975"/>
          <a:ext cx="400050" cy="247650"/>
        </a:xfrm>
        <a:prstGeom prst="rect">
          <a:avLst/>
        </a:prstGeom>
        <a:noFill/>
      </xdr:spPr>
    </xdr:pic>
    <xdr:clientData/>
  </xdr:twoCellAnchor>
  <xdr:twoCellAnchor>
    <xdr:from>
      <xdr:col>4</xdr:col>
      <xdr:colOff>152400</xdr:colOff>
      <xdr:row>43</xdr:row>
      <xdr:rowOff>38100</xdr:rowOff>
    </xdr:from>
    <xdr:to>
      <xdr:col>4</xdr:col>
      <xdr:colOff>571500</xdr:colOff>
      <xdr:row>44</xdr:row>
      <xdr:rowOff>57150</xdr:rowOff>
    </xdr:to>
    <xdr:pic>
      <xdr:nvPicPr>
        <xdr:cNvPr id="30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048000" y="11506200"/>
          <a:ext cx="419100" cy="2762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95250</xdr:colOff>
      <xdr:row>35</xdr:row>
      <xdr:rowOff>247650</xdr:rowOff>
    </xdr:from>
    <xdr:to>
      <xdr:col>0</xdr:col>
      <xdr:colOff>561975</xdr:colOff>
      <xdr:row>37</xdr:row>
      <xdr:rowOff>38100</xdr:rowOff>
    </xdr:to>
    <xdr:pic>
      <xdr:nvPicPr>
        <xdr:cNvPr id="3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95250" y="9763125"/>
          <a:ext cx="466725" cy="3048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47625</xdr:colOff>
      <xdr:row>46</xdr:row>
      <xdr:rowOff>0</xdr:rowOff>
    </xdr:from>
    <xdr:to>
      <xdr:col>0</xdr:col>
      <xdr:colOff>647700</xdr:colOff>
      <xdr:row>47</xdr:row>
      <xdr:rowOff>0</xdr:rowOff>
    </xdr:to>
    <xdr:pic>
      <xdr:nvPicPr>
        <xdr:cNvPr id="3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7625" y="12239625"/>
          <a:ext cx="600075" cy="2571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0</xdr:colOff>
      <xdr:row>48</xdr:row>
      <xdr:rowOff>0</xdr:rowOff>
    </xdr:from>
    <xdr:to>
      <xdr:col>0</xdr:col>
      <xdr:colOff>619125</xdr:colOff>
      <xdr:row>49</xdr:row>
      <xdr:rowOff>0</xdr:rowOff>
    </xdr:to>
    <xdr:pic>
      <xdr:nvPicPr>
        <xdr:cNvPr id="3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0" y="12753975"/>
          <a:ext cx="619125" cy="2571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85725</xdr:colOff>
      <xdr:row>49</xdr:row>
      <xdr:rowOff>0</xdr:rowOff>
    </xdr:from>
    <xdr:to>
      <xdr:col>2</xdr:col>
      <xdr:colOff>381000</xdr:colOff>
      <xdr:row>50</xdr:row>
      <xdr:rowOff>38100</xdr:rowOff>
    </xdr:to>
    <xdr:pic>
      <xdr:nvPicPr>
        <xdr:cNvPr id="34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609725" y="13011150"/>
          <a:ext cx="295275" cy="2952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0</xdr:colOff>
      <xdr:row>49</xdr:row>
      <xdr:rowOff>0</xdr:rowOff>
    </xdr:from>
    <xdr:to>
      <xdr:col>0</xdr:col>
      <xdr:colOff>619125</xdr:colOff>
      <xdr:row>50</xdr:row>
      <xdr:rowOff>47625</xdr:rowOff>
    </xdr:to>
    <xdr:pic>
      <xdr:nvPicPr>
        <xdr:cNvPr id="3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0" y="13011150"/>
          <a:ext cx="619125" cy="304800"/>
        </a:xfrm>
        <a:prstGeom prst="rect">
          <a:avLst/>
        </a:prstGeom>
        <a:noFill/>
      </xdr:spPr>
    </xdr:pic>
    <xdr:clientData/>
  </xdr:twoCellAnchor>
  <xdr:twoCellAnchor>
    <xdr:from>
      <xdr:col>3</xdr:col>
      <xdr:colOff>200025</xdr:colOff>
      <xdr:row>36</xdr:row>
      <xdr:rowOff>47625</xdr:rowOff>
    </xdr:from>
    <xdr:to>
      <xdr:col>3</xdr:col>
      <xdr:colOff>571500</xdr:colOff>
      <xdr:row>38</xdr:row>
      <xdr:rowOff>238125</xdr:rowOff>
    </xdr:to>
    <xdr:sp macro="" textlink="">
      <xdr:nvSpPr>
        <xdr:cNvPr id="36" name="قوس كبير أيمن 35"/>
        <xdr:cNvSpPr/>
      </xdr:nvSpPr>
      <xdr:spPr>
        <a:xfrm>
          <a:off x="2409825" y="9820275"/>
          <a:ext cx="371475" cy="70485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1" anchor="ctr"/>
        <a:lstStyle/>
        <a:p>
          <a:pPr algn="ctr"/>
          <a:endParaRPr lang="ar-SY" sz="1100"/>
        </a:p>
      </xdr:txBody>
    </xdr:sp>
    <xdr:clientData/>
  </xdr:twoCellAnchor>
  <xdr:twoCellAnchor>
    <xdr:from>
      <xdr:col>3</xdr:col>
      <xdr:colOff>171450</xdr:colOff>
      <xdr:row>40</xdr:row>
      <xdr:rowOff>47625</xdr:rowOff>
    </xdr:from>
    <xdr:to>
      <xdr:col>3</xdr:col>
      <xdr:colOff>638175</xdr:colOff>
      <xdr:row>46</xdr:row>
      <xdr:rowOff>200025</xdr:rowOff>
    </xdr:to>
    <xdr:sp macro="" textlink="">
      <xdr:nvSpPr>
        <xdr:cNvPr id="37" name="قوس كبير أيمن 36"/>
        <xdr:cNvSpPr/>
      </xdr:nvSpPr>
      <xdr:spPr>
        <a:xfrm>
          <a:off x="2381250" y="10744200"/>
          <a:ext cx="466725" cy="169545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1" anchor="ctr"/>
        <a:lstStyle/>
        <a:p>
          <a:pPr algn="ctr"/>
          <a:endParaRPr lang="ar-SY" sz="1100"/>
        </a:p>
      </xdr:txBody>
    </xdr:sp>
    <xdr:clientData/>
  </xdr:twoCellAnchor>
  <xdr:twoCellAnchor>
    <xdr:from>
      <xdr:col>2</xdr:col>
      <xdr:colOff>0</xdr:colOff>
      <xdr:row>51</xdr:row>
      <xdr:rowOff>0</xdr:rowOff>
    </xdr:from>
    <xdr:to>
      <xdr:col>2</xdr:col>
      <xdr:colOff>295275</xdr:colOff>
      <xdr:row>52</xdr:row>
      <xdr:rowOff>38100</xdr:rowOff>
    </xdr:to>
    <xdr:pic>
      <xdr:nvPicPr>
        <xdr:cNvPr id="38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438275" y="13468350"/>
          <a:ext cx="295275" cy="2952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66675</xdr:colOff>
      <xdr:row>51</xdr:row>
      <xdr:rowOff>0</xdr:rowOff>
    </xdr:from>
    <xdr:to>
      <xdr:col>0</xdr:col>
      <xdr:colOff>609600</xdr:colOff>
      <xdr:row>52</xdr:row>
      <xdr:rowOff>47625</xdr:rowOff>
    </xdr:to>
    <xdr:pic>
      <xdr:nvPicPr>
        <xdr:cNvPr id="819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6675" y="13211175"/>
          <a:ext cx="542925" cy="304800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466725</xdr:colOff>
          <xdr:row>10</xdr:row>
          <xdr:rowOff>57150</xdr:rowOff>
        </xdr:from>
        <xdr:to>
          <xdr:col>6</xdr:col>
          <xdr:colOff>219075</xdr:colOff>
          <xdr:row>12</xdr:row>
          <xdr:rowOff>228600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66675</xdr:colOff>
          <xdr:row>5</xdr:row>
          <xdr:rowOff>47625</xdr:rowOff>
        </xdr:from>
        <xdr:to>
          <xdr:col>7</xdr:col>
          <xdr:colOff>9525</xdr:colOff>
          <xdr:row>7</xdr:row>
          <xdr:rowOff>219075</xdr:rowOff>
        </xdr:to>
        <xdr:sp macro="" textlink="">
          <xdr:nvSpPr>
            <xdr:cNvPr id="14338" name="Object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</xdr:col>
      <xdr:colOff>21432</xdr:colOff>
      <xdr:row>19</xdr:row>
      <xdr:rowOff>19050</xdr:rowOff>
    </xdr:from>
    <xdr:to>
      <xdr:col>7</xdr:col>
      <xdr:colOff>59531</xdr:colOff>
      <xdr:row>21</xdr:row>
      <xdr:rowOff>257175</xdr:rowOff>
    </xdr:to>
    <xdr:pic>
      <xdr:nvPicPr>
        <xdr:cNvPr id="1433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10213" y="5126831"/>
          <a:ext cx="1824037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8DB3E2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17365D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466725</xdr:colOff>
          <xdr:row>24</xdr:row>
          <xdr:rowOff>57150</xdr:rowOff>
        </xdr:from>
        <xdr:to>
          <xdr:col>6</xdr:col>
          <xdr:colOff>219075</xdr:colOff>
          <xdr:row>26</xdr:row>
          <xdr:rowOff>228600</xdr:rowOff>
        </xdr:to>
        <xdr:sp macro="" textlink="">
          <xdr:nvSpPr>
            <xdr:cNvPr id="14340" name="Object 4" hidden="1">
              <a:extLst>
                <a:ext uri="{63B3BB69-23CF-44E3-9099-C40C66FF867C}">
                  <a14:compatExt spid="_x0000_s143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581025</xdr:colOff>
      <xdr:row>19</xdr:row>
      <xdr:rowOff>94612</xdr:rowOff>
    </xdr:from>
    <xdr:to>
      <xdr:col>10</xdr:col>
      <xdr:colOff>66675</xdr:colOff>
      <xdr:row>28</xdr:row>
      <xdr:rowOff>114301</xdr:rowOff>
    </xdr:to>
    <xdr:pic>
      <xdr:nvPicPr>
        <xdr:cNvPr id="2" name="Picture 1" descr="12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474" t="19759" r="43710" b="10999"/>
        <a:stretch>
          <a:fillRect/>
        </a:stretch>
      </xdr:blipFill>
      <xdr:spPr bwMode="auto">
        <a:xfrm>
          <a:off x="7200900" y="3742687"/>
          <a:ext cx="1895475" cy="2277114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390534</xdr:colOff>
      <xdr:row>3</xdr:row>
      <xdr:rowOff>28576</xdr:rowOff>
    </xdr:from>
    <xdr:to>
      <xdr:col>5</xdr:col>
      <xdr:colOff>755055</xdr:colOff>
      <xdr:row>12</xdr:row>
      <xdr:rowOff>190797</xdr:rowOff>
    </xdr:to>
    <xdr:pic>
      <xdr:nvPicPr>
        <xdr:cNvPr id="1045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0909" y="704851"/>
          <a:ext cx="1364647" cy="2114846"/>
        </a:xfrm>
        <a:prstGeom prst="rect">
          <a:avLst/>
        </a:prstGeom>
        <a:noFill/>
      </xdr:spPr>
    </xdr:pic>
    <xdr:clientData/>
  </xdr:twoCellAnchor>
  <xdr:twoCellAnchor>
    <xdr:from>
      <xdr:col>4</xdr:col>
      <xdr:colOff>542926</xdr:colOff>
      <xdr:row>3</xdr:row>
      <xdr:rowOff>104774</xdr:rowOff>
    </xdr:from>
    <xdr:to>
      <xdr:col>4</xdr:col>
      <xdr:colOff>542932</xdr:colOff>
      <xdr:row>9</xdr:row>
      <xdr:rowOff>104777</xdr:rowOff>
    </xdr:to>
    <xdr:cxnSp macro="">
      <xdr:nvCxnSpPr>
        <xdr:cNvPr id="5" name="رابط كسهم مستقيم 4"/>
        <xdr:cNvCxnSpPr/>
      </xdr:nvCxnSpPr>
      <xdr:spPr>
        <a:xfrm rot="5400000">
          <a:off x="2905127" y="1419223"/>
          <a:ext cx="1276353" cy="6"/>
        </a:xfrm>
        <a:prstGeom prst="straightConnector1">
          <a:avLst/>
        </a:prstGeom>
        <a:ln w="15875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752475</xdr:colOff>
      <xdr:row>2</xdr:row>
      <xdr:rowOff>142875</xdr:rowOff>
    </xdr:from>
    <xdr:to>
      <xdr:col>5</xdr:col>
      <xdr:colOff>381000</xdr:colOff>
      <xdr:row>2</xdr:row>
      <xdr:rowOff>144463</xdr:rowOff>
    </xdr:to>
    <xdr:cxnSp macro="">
      <xdr:nvCxnSpPr>
        <xdr:cNvPr id="9" name="رابط كسهم مستقيم 8"/>
        <xdr:cNvCxnSpPr/>
      </xdr:nvCxnSpPr>
      <xdr:spPr>
        <a:xfrm>
          <a:off x="3752850" y="619125"/>
          <a:ext cx="628650" cy="1588"/>
        </a:xfrm>
        <a:prstGeom prst="straightConnector1">
          <a:avLst/>
        </a:prstGeom>
        <a:ln w="15875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9</xdr:col>
      <xdr:colOff>85725</xdr:colOff>
      <xdr:row>1</xdr:row>
      <xdr:rowOff>38100</xdr:rowOff>
    </xdr:from>
    <xdr:to>
      <xdr:col>10</xdr:col>
      <xdr:colOff>876552</xdr:colOff>
      <xdr:row>14</xdr:row>
      <xdr:rowOff>17069</xdr:rowOff>
    </xdr:to>
    <xdr:pic>
      <xdr:nvPicPr>
        <xdr:cNvPr id="1047" name="Picture 23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086725" y="247650"/>
          <a:ext cx="1800476" cy="2865044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1</xdr:row>
      <xdr:rowOff>142875</xdr:rowOff>
    </xdr:from>
    <xdr:to>
      <xdr:col>10</xdr:col>
      <xdr:colOff>266700</xdr:colOff>
      <xdr:row>1</xdr:row>
      <xdr:rowOff>144463</xdr:rowOff>
    </xdr:to>
    <xdr:cxnSp macro="">
      <xdr:nvCxnSpPr>
        <xdr:cNvPr id="18" name="رابط كسهم مستقيم 17"/>
        <xdr:cNvCxnSpPr/>
      </xdr:nvCxnSpPr>
      <xdr:spPr>
        <a:xfrm>
          <a:off x="8639175" y="352425"/>
          <a:ext cx="628650" cy="1588"/>
        </a:xfrm>
        <a:prstGeom prst="straightConnector1">
          <a:avLst/>
        </a:prstGeom>
        <a:ln w="15875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484982</xdr:colOff>
      <xdr:row>1</xdr:row>
      <xdr:rowOff>229394</xdr:rowOff>
    </xdr:from>
    <xdr:to>
      <xdr:col>9</xdr:col>
      <xdr:colOff>486570</xdr:colOff>
      <xdr:row>3</xdr:row>
      <xdr:rowOff>19844</xdr:rowOff>
    </xdr:to>
    <xdr:cxnSp macro="">
      <xdr:nvCxnSpPr>
        <xdr:cNvPr id="20" name="رابط كسهم مستقيم 19"/>
        <xdr:cNvCxnSpPr/>
      </xdr:nvCxnSpPr>
      <xdr:spPr>
        <a:xfrm rot="5400000">
          <a:off x="8358188" y="566738"/>
          <a:ext cx="257175" cy="1588"/>
        </a:xfrm>
        <a:prstGeom prst="straightConnector1">
          <a:avLst/>
        </a:prstGeom>
        <a:ln w="15875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171451</xdr:colOff>
      <xdr:row>2</xdr:row>
      <xdr:rowOff>0</xdr:rowOff>
    </xdr:from>
    <xdr:to>
      <xdr:col>9</xdr:col>
      <xdr:colOff>180976</xdr:colOff>
      <xdr:row>10</xdr:row>
      <xdr:rowOff>104775</xdr:rowOff>
    </xdr:to>
    <xdr:cxnSp macro="">
      <xdr:nvCxnSpPr>
        <xdr:cNvPr id="22" name="رابط كسهم مستقيم 21"/>
        <xdr:cNvCxnSpPr/>
      </xdr:nvCxnSpPr>
      <xdr:spPr>
        <a:xfrm rot="5400000">
          <a:off x="7286626" y="1362075"/>
          <a:ext cx="1781175" cy="9525"/>
        </a:xfrm>
        <a:prstGeom prst="straightConnector1">
          <a:avLst/>
        </a:prstGeom>
        <a:ln w="15875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771525</xdr:colOff>
      <xdr:row>11</xdr:row>
      <xdr:rowOff>95250</xdr:rowOff>
    </xdr:from>
    <xdr:to>
      <xdr:col>10</xdr:col>
      <xdr:colOff>180975</xdr:colOff>
      <xdr:row>11</xdr:row>
      <xdr:rowOff>96838</xdr:rowOff>
    </xdr:to>
    <xdr:cxnSp macro="">
      <xdr:nvCxnSpPr>
        <xdr:cNvPr id="28" name="رابط كسهم مستقيم 27"/>
        <xdr:cNvCxnSpPr/>
      </xdr:nvCxnSpPr>
      <xdr:spPr>
        <a:xfrm>
          <a:off x="8772525" y="2447925"/>
          <a:ext cx="409575" cy="1588"/>
        </a:xfrm>
        <a:prstGeom prst="straightConnector1">
          <a:avLst/>
        </a:prstGeom>
        <a:ln w="15875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</xdr:col>
      <xdr:colOff>357193</xdr:colOff>
      <xdr:row>36</xdr:row>
      <xdr:rowOff>119063</xdr:rowOff>
    </xdr:from>
    <xdr:to>
      <xdr:col>12</xdr:col>
      <xdr:colOff>143080</xdr:colOff>
      <xdr:row>49</xdr:row>
      <xdr:rowOff>185880</xdr:rowOff>
    </xdr:to>
    <xdr:pic>
      <xdr:nvPicPr>
        <xdr:cNvPr id="1046" name="Picture 2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357318" y="7953376"/>
          <a:ext cx="9822857" cy="2674286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1088574</xdr:colOff>
      <xdr:row>26</xdr:row>
      <xdr:rowOff>74839</xdr:rowOff>
    </xdr:from>
    <xdr:to>
      <xdr:col>10</xdr:col>
      <xdr:colOff>95250</xdr:colOff>
      <xdr:row>53</xdr:row>
      <xdr:rowOff>149678</xdr:rowOff>
    </xdr:to>
    <xdr:graphicFrame macro="">
      <xdr:nvGraphicFramePr>
        <xdr:cNvPr id="2" name="مخطط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602192</xdr:colOff>
      <xdr:row>6</xdr:row>
      <xdr:rowOff>149226</xdr:rowOff>
    </xdr:from>
    <xdr:to>
      <xdr:col>13</xdr:col>
      <xdr:colOff>283634</xdr:colOff>
      <xdr:row>26</xdr:row>
      <xdr:rowOff>138641</xdr:rowOff>
    </xdr:to>
    <xdr:graphicFrame macro="">
      <xdr:nvGraphicFramePr>
        <xdr:cNvPr id="3" name="مخطط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314325</xdr:colOff>
      <xdr:row>6</xdr:row>
      <xdr:rowOff>9525</xdr:rowOff>
    </xdr:from>
    <xdr:to>
      <xdr:col>11</xdr:col>
      <xdr:colOff>571500</xdr:colOff>
      <xdr:row>6</xdr:row>
      <xdr:rowOff>400050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9048750" y="1304925"/>
          <a:ext cx="257175" cy="3905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323851</xdr:colOff>
      <xdr:row>6</xdr:row>
      <xdr:rowOff>76200</xdr:rowOff>
    </xdr:from>
    <xdr:to>
      <xdr:col>9</xdr:col>
      <xdr:colOff>676275</xdr:colOff>
      <xdr:row>6</xdr:row>
      <xdr:rowOff>447675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496176" y="1371600"/>
          <a:ext cx="352424" cy="371475"/>
        </a:xfrm>
        <a:prstGeom prst="rect">
          <a:avLst/>
        </a:prstGeom>
        <a:noFill/>
      </xdr:spPr>
    </xdr:pic>
    <xdr:clientData/>
  </xdr:twoCellAnchor>
  <xdr:twoCellAnchor>
    <xdr:from>
      <xdr:col>10</xdr:col>
      <xdr:colOff>190500</xdr:colOff>
      <xdr:row>6</xdr:row>
      <xdr:rowOff>0</xdr:rowOff>
    </xdr:from>
    <xdr:to>
      <xdr:col>10</xdr:col>
      <xdr:colOff>438150</xdr:colOff>
      <xdr:row>6</xdr:row>
      <xdr:rowOff>409575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8248650" y="1295400"/>
          <a:ext cx="247650" cy="4095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342900</xdr:colOff>
      <xdr:row>3</xdr:row>
      <xdr:rowOff>247650</xdr:rowOff>
    </xdr:from>
    <xdr:to>
      <xdr:col>1</xdr:col>
      <xdr:colOff>600075</xdr:colOff>
      <xdr:row>4</xdr:row>
      <xdr:rowOff>234950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42900" y="1143000"/>
          <a:ext cx="257175" cy="25400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123824</xdr:colOff>
      <xdr:row>1</xdr:row>
      <xdr:rowOff>57151</xdr:rowOff>
    </xdr:from>
    <xdr:to>
      <xdr:col>7</xdr:col>
      <xdr:colOff>666749</xdr:colOff>
      <xdr:row>1</xdr:row>
      <xdr:rowOff>438151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153024" y="323851"/>
          <a:ext cx="542925" cy="38100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269875</xdr:colOff>
      <xdr:row>0</xdr:row>
      <xdr:rowOff>365125</xdr:rowOff>
    </xdr:from>
    <xdr:to>
      <xdr:col>24</xdr:col>
      <xdr:colOff>671284</xdr:colOff>
      <xdr:row>21</xdr:row>
      <xdr:rowOff>251731</xdr:rowOff>
    </xdr:to>
    <xdr:graphicFrame macro="">
      <xdr:nvGraphicFramePr>
        <xdr:cNvPr id="2" name="مخطط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6</xdr:row>
      <xdr:rowOff>0</xdr:rowOff>
    </xdr:from>
    <xdr:to>
      <xdr:col>0</xdr:col>
      <xdr:colOff>619125</xdr:colOff>
      <xdr:row>7</xdr:row>
      <xdr:rowOff>0</xdr:rowOff>
    </xdr:to>
    <xdr:pic>
      <xdr:nvPicPr>
        <xdr:cNvPr id="819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95250" y="1304925"/>
          <a:ext cx="523875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352425</xdr:colOff>
      <xdr:row>8</xdr:row>
      <xdr:rowOff>0</xdr:rowOff>
    </xdr:from>
    <xdr:to>
      <xdr:col>5</xdr:col>
      <xdr:colOff>561975</xdr:colOff>
      <xdr:row>9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52425" y="2828925"/>
          <a:ext cx="3790950" cy="3238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533400</xdr:colOff>
      <xdr:row>9</xdr:row>
      <xdr:rowOff>0</xdr:rowOff>
    </xdr:from>
    <xdr:to>
      <xdr:col>5</xdr:col>
      <xdr:colOff>180975</xdr:colOff>
      <xdr:row>10</xdr:row>
      <xdr:rowOff>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33400" y="3343275"/>
          <a:ext cx="3228975" cy="3048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123825</xdr:colOff>
      <xdr:row>10</xdr:row>
      <xdr:rowOff>19050</xdr:rowOff>
    </xdr:from>
    <xdr:to>
      <xdr:col>0</xdr:col>
      <xdr:colOff>571500</xdr:colOff>
      <xdr:row>11</xdr:row>
      <xdr:rowOff>0</xdr:rowOff>
    </xdr:to>
    <xdr:pic>
      <xdr:nvPicPr>
        <xdr:cNvPr id="8197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23825" y="2724150"/>
          <a:ext cx="447675" cy="2381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85725</xdr:colOff>
      <xdr:row>11</xdr:row>
      <xdr:rowOff>19050</xdr:rowOff>
    </xdr:from>
    <xdr:to>
      <xdr:col>0</xdr:col>
      <xdr:colOff>609600</xdr:colOff>
      <xdr:row>12</xdr:row>
      <xdr:rowOff>0</xdr:rowOff>
    </xdr:to>
    <xdr:pic>
      <xdr:nvPicPr>
        <xdr:cNvPr id="8198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85725" y="4695825"/>
          <a:ext cx="523875" cy="2952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171450</xdr:colOff>
      <xdr:row>13</xdr:row>
      <xdr:rowOff>38100</xdr:rowOff>
    </xdr:from>
    <xdr:to>
      <xdr:col>2</xdr:col>
      <xdr:colOff>447675</xdr:colOff>
      <xdr:row>15</xdr:row>
      <xdr:rowOff>0</xdr:rowOff>
    </xdr:to>
    <xdr:pic>
      <xdr:nvPicPr>
        <xdr:cNvPr id="5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71450" y="4457700"/>
          <a:ext cx="1800225" cy="4953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85725</xdr:colOff>
      <xdr:row>15</xdr:row>
      <xdr:rowOff>19050</xdr:rowOff>
    </xdr:from>
    <xdr:to>
      <xdr:col>0</xdr:col>
      <xdr:colOff>638175</xdr:colOff>
      <xdr:row>16</xdr:row>
      <xdr:rowOff>0</xdr:rowOff>
    </xdr:to>
    <xdr:pic>
      <xdr:nvPicPr>
        <xdr:cNvPr id="819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85725" y="6238875"/>
          <a:ext cx="552450" cy="2762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57150</xdr:colOff>
      <xdr:row>17</xdr:row>
      <xdr:rowOff>0</xdr:rowOff>
    </xdr:from>
    <xdr:to>
      <xdr:col>0</xdr:col>
      <xdr:colOff>676275</xdr:colOff>
      <xdr:row>18</xdr:row>
      <xdr:rowOff>0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7150" y="8743950"/>
          <a:ext cx="619125" cy="3048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47625</xdr:colOff>
      <xdr:row>18</xdr:row>
      <xdr:rowOff>0</xdr:rowOff>
    </xdr:from>
    <xdr:to>
      <xdr:col>0</xdr:col>
      <xdr:colOff>666750</xdr:colOff>
      <xdr:row>19</xdr:row>
      <xdr:rowOff>47625</xdr:rowOff>
    </xdr:to>
    <xdr:pic>
      <xdr:nvPicPr>
        <xdr:cNvPr id="13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7625" y="9258300"/>
          <a:ext cx="619125" cy="304800"/>
        </a:xfrm>
        <a:prstGeom prst="rect">
          <a:avLst/>
        </a:prstGeom>
        <a:noFill/>
      </xdr:spPr>
    </xdr:pic>
    <xdr:clientData/>
  </xdr:twoCellAnchor>
  <xdr:twoCellAnchor>
    <xdr:from>
      <xdr:col>2</xdr:col>
      <xdr:colOff>47625</xdr:colOff>
      <xdr:row>18</xdr:row>
      <xdr:rowOff>0</xdr:rowOff>
    </xdr:from>
    <xdr:to>
      <xdr:col>2</xdr:col>
      <xdr:colOff>342900</xdr:colOff>
      <xdr:row>19</xdr:row>
      <xdr:rowOff>47625</xdr:rowOff>
    </xdr:to>
    <xdr:pic>
      <xdr:nvPicPr>
        <xdr:cNvPr id="8199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552575" y="9258300"/>
          <a:ext cx="295275" cy="3048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257175</xdr:colOff>
      <xdr:row>22</xdr:row>
      <xdr:rowOff>28575</xdr:rowOff>
    </xdr:from>
    <xdr:to>
      <xdr:col>1</xdr:col>
      <xdr:colOff>371475</xdr:colOff>
      <xdr:row>22</xdr:row>
      <xdr:rowOff>247650</xdr:rowOff>
    </xdr:to>
    <xdr:pic>
      <xdr:nvPicPr>
        <xdr:cNvPr id="8204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57175" y="5991225"/>
          <a:ext cx="800100" cy="2190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104775</xdr:colOff>
      <xdr:row>23</xdr:row>
      <xdr:rowOff>9525</xdr:rowOff>
    </xdr:from>
    <xdr:to>
      <xdr:col>0</xdr:col>
      <xdr:colOff>638175</xdr:colOff>
      <xdr:row>24</xdr:row>
      <xdr:rowOff>0</xdr:rowOff>
    </xdr:to>
    <xdr:pic>
      <xdr:nvPicPr>
        <xdr:cNvPr id="8205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4775" y="6229350"/>
          <a:ext cx="533400" cy="2571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180975</xdr:colOff>
      <xdr:row>25</xdr:row>
      <xdr:rowOff>9525</xdr:rowOff>
    </xdr:from>
    <xdr:to>
      <xdr:col>1</xdr:col>
      <xdr:colOff>571500</xdr:colOff>
      <xdr:row>26</xdr:row>
      <xdr:rowOff>9525</xdr:rowOff>
    </xdr:to>
    <xdr:pic>
      <xdr:nvPicPr>
        <xdr:cNvPr id="8206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80975" y="6743700"/>
          <a:ext cx="1076325" cy="2571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142875</xdr:colOff>
      <xdr:row>25</xdr:row>
      <xdr:rowOff>247650</xdr:rowOff>
    </xdr:from>
    <xdr:to>
      <xdr:col>0</xdr:col>
      <xdr:colOff>590550</xdr:colOff>
      <xdr:row>26</xdr:row>
      <xdr:rowOff>247650</xdr:rowOff>
    </xdr:to>
    <xdr:pic>
      <xdr:nvPicPr>
        <xdr:cNvPr id="8209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42875" y="6981825"/>
          <a:ext cx="447675" cy="2571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161925</xdr:colOff>
      <xdr:row>27</xdr:row>
      <xdr:rowOff>28575</xdr:rowOff>
    </xdr:from>
    <xdr:to>
      <xdr:col>0</xdr:col>
      <xdr:colOff>495300</xdr:colOff>
      <xdr:row>28</xdr:row>
      <xdr:rowOff>28575</xdr:rowOff>
    </xdr:to>
    <xdr:pic>
      <xdr:nvPicPr>
        <xdr:cNvPr id="8210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61925" y="7277100"/>
          <a:ext cx="333375" cy="2571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114300</xdr:colOff>
      <xdr:row>28</xdr:row>
      <xdr:rowOff>0</xdr:rowOff>
    </xdr:from>
    <xdr:to>
      <xdr:col>0</xdr:col>
      <xdr:colOff>638175</xdr:colOff>
      <xdr:row>29</xdr:row>
      <xdr:rowOff>0</xdr:rowOff>
    </xdr:to>
    <xdr:pic>
      <xdr:nvPicPr>
        <xdr:cNvPr id="8211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4300" y="7505700"/>
          <a:ext cx="523875" cy="2571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352425</xdr:colOff>
      <xdr:row>30</xdr:row>
      <xdr:rowOff>95250</xdr:rowOff>
    </xdr:from>
    <xdr:to>
      <xdr:col>3</xdr:col>
      <xdr:colOff>295275</xdr:colOff>
      <xdr:row>32</xdr:row>
      <xdr:rowOff>152400</xdr:rowOff>
    </xdr:to>
    <xdr:pic>
      <xdr:nvPicPr>
        <xdr:cNvPr id="4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52425" y="8115300"/>
          <a:ext cx="2152650" cy="5715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266700</xdr:colOff>
      <xdr:row>33</xdr:row>
      <xdr:rowOff>104775</xdr:rowOff>
    </xdr:from>
    <xdr:to>
      <xdr:col>3</xdr:col>
      <xdr:colOff>266700</xdr:colOff>
      <xdr:row>35</xdr:row>
      <xdr:rowOff>152400</xdr:rowOff>
    </xdr:to>
    <xdr:pic>
      <xdr:nvPicPr>
        <xdr:cNvPr id="7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66700" y="8896350"/>
          <a:ext cx="2209800" cy="5619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123825</xdr:colOff>
      <xdr:row>36</xdr:row>
      <xdr:rowOff>247650</xdr:rowOff>
    </xdr:from>
    <xdr:to>
      <xdr:col>0</xdr:col>
      <xdr:colOff>504825</xdr:colOff>
      <xdr:row>38</xdr:row>
      <xdr:rowOff>9525</xdr:rowOff>
    </xdr:to>
    <xdr:pic>
      <xdr:nvPicPr>
        <xdr:cNvPr id="8213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23825" y="9810750"/>
          <a:ext cx="381000" cy="2762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104775</xdr:colOff>
      <xdr:row>38</xdr:row>
      <xdr:rowOff>9525</xdr:rowOff>
    </xdr:from>
    <xdr:to>
      <xdr:col>0</xdr:col>
      <xdr:colOff>581025</xdr:colOff>
      <xdr:row>39</xdr:row>
      <xdr:rowOff>0</xdr:rowOff>
    </xdr:to>
    <xdr:pic>
      <xdr:nvPicPr>
        <xdr:cNvPr id="8214" name="Picture 22"/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4775" y="10086975"/>
          <a:ext cx="476250" cy="276225"/>
        </a:xfrm>
        <a:prstGeom prst="rect">
          <a:avLst/>
        </a:prstGeom>
        <a:noFill/>
      </xdr:spPr>
    </xdr:pic>
    <xdr:clientData/>
  </xdr:twoCellAnchor>
  <xdr:twoCellAnchor>
    <xdr:from>
      <xdr:col>4</xdr:col>
      <xdr:colOff>152400</xdr:colOff>
      <xdr:row>37</xdr:row>
      <xdr:rowOff>9525</xdr:rowOff>
    </xdr:from>
    <xdr:to>
      <xdr:col>4</xdr:col>
      <xdr:colOff>581025</xdr:colOff>
      <xdr:row>38</xdr:row>
      <xdr:rowOff>28575</xdr:rowOff>
    </xdr:to>
    <xdr:pic>
      <xdr:nvPicPr>
        <xdr:cNvPr id="8215" name="Picture 23"/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048000" y="16468725"/>
          <a:ext cx="428625" cy="2762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247650</xdr:colOff>
      <xdr:row>3</xdr:row>
      <xdr:rowOff>95250</xdr:rowOff>
    </xdr:from>
    <xdr:to>
      <xdr:col>3</xdr:col>
      <xdr:colOff>247650</xdr:colOff>
      <xdr:row>5</xdr:row>
      <xdr:rowOff>171450</xdr:rowOff>
    </xdr:to>
    <xdr:pic>
      <xdr:nvPicPr>
        <xdr:cNvPr id="8216" name="Picture 24"/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47650" y="866775"/>
          <a:ext cx="2209800" cy="5905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228600</xdr:colOff>
      <xdr:row>40</xdr:row>
      <xdr:rowOff>9525</xdr:rowOff>
    </xdr:from>
    <xdr:to>
      <xdr:col>2</xdr:col>
      <xdr:colOff>381000</xdr:colOff>
      <xdr:row>41</xdr:row>
      <xdr:rowOff>0</xdr:rowOff>
    </xdr:to>
    <xdr:pic>
      <xdr:nvPicPr>
        <xdr:cNvPr id="819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28600" y="10601325"/>
          <a:ext cx="1676400" cy="2762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209550</xdr:colOff>
      <xdr:row>41</xdr:row>
      <xdr:rowOff>9525</xdr:rowOff>
    </xdr:from>
    <xdr:to>
      <xdr:col>0</xdr:col>
      <xdr:colOff>619125</xdr:colOff>
      <xdr:row>42</xdr:row>
      <xdr:rowOff>28575</xdr:rowOff>
    </xdr:to>
    <xdr:pic>
      <xdr:nvPicPr>
        <xdr:cNvPr id="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09550" y="10506075"/>
          <a:ext cx="409575" cy="2762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133350</xdr:colOff>
      <xdr:row>42</xdr:row>
      <xdr:rowOff>0</xdr:rowOff>
    </xdr:from>
    <xdr:to>
      <xdr:col>0</xdr:col>
      <xdr:colOff>609600</xdr:colOff>
      <xdr:row>43</xdr:row>
      <xdr:rowOff>19050</xdr:rowOff>
    </xdr:to>
    <xdr:pic>
      <xdr:nvPicPr>
        <xdr:cNvPr id="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33350" y="10848975"/>
          <a:ext cx="476250" cy="2762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152400</xdr:colOff>
      <xdr:row>43</xdr:row>
      <xdr:rowOff>38100</xdr:rowOff>
    </xdr:from>
    <xdr:to>
      <xdr:col>0</xdr:col>
      <xdr:colOff>571500</xdr:colOff>
      <xdr:row>44</xdr:row>
      <xdr:rowOff>57150</xdr:rowOff>
    </xdr:to>
    <xdr:pic>
      <xdr:nvPicPr>
        <xdr:cNvPr id="8196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52400" y="11144250"/>
          <a:ext cx="419100" cy="2762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171450</xdr:colOff>
      <xdr:row>44</xdr:row>
      <xdr:rowOff>28575</xdr:rowOff>
    </xdr:from>
    <xdr:to>
      <xdr:col>0</xdr:col>
      <xdr:colOff>581025</xdr:colOff>
      <xdr:row>45</xdr:row>
      <xdr:rowOff>47625</xdr:rowOff>
    </xdr:to>
    <xdr:pic>
      <xdr:nvPicPr>
        <xdr:cNvPr id="10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71450" y="11391900"/>
          <a:ext cx="409575" cy="2762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152400</xdr:colOff>
      <xdr:row>45</xdr:row>
      <xdr:rowOff>9525</xdr:rowOff>
    </xdr:from>
    <xdr:to>
      <xdr:col>0</xdr:col>
      <xdr:colOff>552450</xdr:colOff>
      <xdr:row>46</xdr:row>
      <xdr:rowOff>0</xdr:rowOff>
    </xdr:to>
    <xdr:pic>
      <xdr:nvPicPr>
        <xdr:cNvPr id="11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52400" y="11630025"/>
          <a:ext cx="400050" cy="276225"/>
        </a:xfrm>
        <a:prstGeom prst="rect">
          <a:avLst/>
        </a:prstGeom>
        <a:noFill/>
      </xdr:spPr>
    </xdr:pic>
    <xdr:clientData/>
  </xdr:twoCellAnchor>
  <xdr:twoCellAnchor>
    <xdr:from>
      <xdr:col>4</xdr:col>
      <xdr:colOff>152400</xdr:colOff>
      <xdr:row>43</xdr:row>
      <xdr:rowOff>38100</xdr:rowOff>
    </xdr:from>
    <xdr:to>
      <xdr:col>4</xdr:col>
      <xdr:colOff>571500</xdr:colOff>
      <xdr:row>44</xdr:row>
      <xdr:rowOff>57150</xdr:rowOff>
    </xdr:to>
    <xdr:pic>
      <xdr:nvPicPr>
        <xdr:cNvPr id="12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048000" y="10887075"/>
          <a:ext cx="419100" cy="2762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95250</xdr:colOff>
      <xdr:row>35</xdr:row>
      <xdr:rowOff>247650</xdr:rowOff>
    </xdr:from>
    <xdr:to>
      <xdr:col>0</xdr:col>
      <xdr:colOff>561975</xdr:colOff>
      <xdr:row>37</xdr:row>
      <xdr:rowOff>38100</xdr:rowOff>
    </xdr:to>
    <xdr:pic>
      <xdr:nvPicPr>
        <xdr:cNvPr id="1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95250" y="9553575"/>
          <a:ext cx="466725" cy="3048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47625</xdr:colOff>
      <xdr:row>46</xdr:row>
      <xdr:rowOff>0</xdr:rowOff>
    </xdr:from>
    <xdr:to>
      <xdr:col>0</xdr:col>
      <xdr:colOff>647700</xdr:colOff>
      <xdr:row>47</xdr:row>
      <xdr:rowOff>0</xdr:rowOff>
    </xdr:to>
    <xdr:pic>
      <xdr:nvPicPr>
        <xdr:cNvPr id="15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7625" y="12134850"/>
          <a:ext cx="600075" cy="2762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0</xdr:colOff>
      <xdr:row>48</xdr:row>
      <xdr:rowOff>0</xdr:rowOff>
    </xdr:from>
    <xdr:to>
      <xdr:col>0</xdr:col>
      <xdr:colOff>619125</xdr:colOff>
      <xdr:row>49</xdr:row>
      <xdr:rowOff>0</xdr:rowOff>
    </xdr:to>
    <xdr:pic>
      <xdr:nvPicPr>
        <xdr:cNvPr id="16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0" y="20354925"/>
          <a:ext cx="619125" cy="304800"/>
        </a:xfrm>
        <a:prstGeom prst="rect">
          <a:avLst/>
        </a:prstGeom>
        <a:noFill/>
      </xdr:spPr>
    </xdr:pic>
    <xdr:clientData/>
  </xdr:twoCellAnchor>
  <xdr:twoCellAnchor>
    <xdr:from>
      <xdr:col>2</xdr:col>
      <xdr:colOff>85725</xdr:colOff>
      <xdr:row>49</xdr:row>
      <xdr:rowOff>0</xdr:rowOff>
    </xdr:from>
    <xdr:to>
      <xdr:col>2</xdr:col>
      <xdr:colOff>381000</xdr:colOff>
      <xdr:row>50</xdr:row>
      <xdr:rowOff>38100</xdr:rowOff>
    </xdr:to>
    <xdr:pic>
      <xdr:nvPicPr>
        <xdr:cNvPr id="34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609725" y="20859750"/>
          <a:ext cx="295275" cy="3048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0</xdr:colOff>
      <xdr:row>49</xdr:row>
      <xdr:rowOff>0</xdr:rowOff>
    </xdr:from>
    <xdr:to>
      <xdr:col>0</xdr:col>
      <xdr:colOff>619125</xdr:colOff>
      <xdr:row>50</xdr:row>
      <xdr:rowOff>47625</xdr:rowOff>
    </xdr:to>
    <xdr:pic>
      <xdr:nvPicPr>
        <xdr:cNvPr id="3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0" y="20869275"/>
          <a:ext cx="619125" cy="304800"/>
        </a:xfrm>
        <a:prstGeom prst="rect">
          <a:avLst/>
        </a:prstGeom>
        <a:noFill/>
      </xdr:spPr>
    </xdr:pic>
    <xdr:clientData/>
  </xdr:twoCellAnchor>
  <xdr:twoCellAnchor>
    <xdr:from>
      <xdr:col>3</xdr:col>
      <xdr:colOff>200025</xdr:colOff>
      <xdr:row>36</xdr:row>
      <xdr:rowOff>47625</xdr:rowOff>
    </xdr:from>
    <xdr:to>
      <xdr:col>3</xdr:col>
      <xdr:colOff>571500</xdr:colOff>
      <xdr:row>38</xdr:row>
      <xdr:rowOff>238125</xdr:rowOff>
    </xdr:to>
    <xdr:sp macro="" textlink="">
      <xdr:nvSpPr>
        <xdr:cNvPr id="36" name="قوس كبير أيمن 35"/>
        <xdr:cNvSpPr/>
      </xdr:nvSpPr>
      <xdr:spPr>
        <a:xfrm>
          <a:off x="2409825" y="9515475"/>
          <a:ext cx="371475" cy="70485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1" anchor="ctr"/>
        <a:lstStyle/>
        <a:p>
          <a:pPr algn="ctr"/>
          <a:endParaRPr lang="ar-SY" sz="1100"/>
        </a:p>
      </xdr:txBody>
    </xdr:sp>
    <xdr:clientData/>
  </xdr:twoCellAnchor>
  <xdr:twoCellAnchor>
    <xdr:from>
      <xdr:col>3</xdr:col>
      <xdr:colOff>171450</xdr:colOff>
      <xdr:row>40</xdr:row>
      <xdr:rowOff>47625</xdr:rowOff>
    </xdr:from>
    <xdr:to>
      <xdr:col>3</xdr:col>
      <xdr:colOff>638175</xdr:colOff>
      <xdr:row>46</xdr:row>
      <xdr:rowOff>200025</xdr:rowOff>
    </xdr:to>
    <xdr:sp macro="" textlink="">
      <xdr:nvSpPr>
        <xdr:cNvPr id="38" name="قوس كبير أيمن 37"/>
        <xdr:cNvSpPr/>
      </xdr:nvSpPr>
      <xdr:spPr>
        <a:xfrm>
          <a:off x="2381250" y="10420350"/>
          <a:ext cx="466725" cy="169545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1" anchor="ctr"/>
        <a:lstStyle/>
        <a:p>
          <a:pPr algn="ctr"/>
          <a:endParaRPr lang="ar-SY" sz="1100"/>
        </a:p>
      </xdr:txBody>
    </xdr:sp>
    <xdr:clientData/>
  </xdr:twoCellAnchor>
  <xdr:twoCellAnchor>
    <xdr:from>
      <xdr:col>2</xdr:col>
      <xdr:colOff>142875</xdr:colOff>
      <xdr:row>51</xdr:row>
      <xdr:rowOff>0</xdr:rowOff>
    </xdr:from>
    <xdr:to>
      <xdr:col>2</xdr:col>
      <xdr:colOff>438150</xdr:colOff>
      <xdr:row>52</xdr:row>
      <xdr:rowOff>38100</xdr:rowOff>
    </xdr:to>
    <xdr:pic>
      <xdr:nvPicPr>
        <xdr:cNvPr id="39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666875" y="13525500"/>
          <a:ext cx="295275" cy="2952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0</xdr:colOff>
      <xdr:row>51</xdr:row>
      <xdr:rowOff>0</xdr:rowOff>
    </xdr:from>
    <xdr:to>
      <xdr:col>0</xdr:col>
      <xdr:colOff>542925</xdr:colOff>
      <xdr:row>52</xdr:row>
      <xdr:rowOff>47625</xdr:rowOff>
    </xdr:to>
    <xdr:pic>
      <xdr:nvPicPr>
        <xdr:cNvPr id="4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0" y="13525500"/>
          <a:ext cx="542925" cy="30480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.s.c/My%20Documents/&#1605;&#1587;&#1576;&#1602;%20&#1575;&#1580;&#1607;&#1575;&#1583;%2007-05/05-0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8-5-2012%20&#1604;&#1575;&#1586;&#1605;&#1608;%20&#1578;&#1593;&#1583;&#1610;&#160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- المعطيات"/>
      <sheetName val="0-مواصفات المماسك"/>
      <sheetName val="1- تحديد الأبعاد الأولية"/>
      <sheetName val="2-تحديد الحمولات"/>
      <sheetName val="3- مسار الكابل"/>
      <sheetName val="4 - حساب قوة سبق الاجهاد"/>
      <sheetName val="4- تحقيق الاجهادات الناظمية"/>
      <sheetName val="5-تحقيق العزم في مرحلة الانكسار"/>
      <sheetName val="6-تحقيق القص في مرحلة انكسار"/>
      <sheetName val="7-الخواص الهندسية الصافية"/>
      <sheetName val="7-الحمولات الجديدة"/>
      <sheetName val="7-حساب قوة سبق اجهاد الجديدة"/>
      <sheetName val="9-حساب الضياعات في مقطع الحرج"/>
      <sheetName val="الجداول"/>
      <sheetName val="9-حساب الضياعات في وسط المجاز"/>
      <sheetName val="10- التسليح الإضافي عند المماسك"/>
      <sheetName val="ورقة1"/>
    </sheetNames>
    <sheetDataSet>
      <sheetData sheetId="0"/>
      <sheetData sheetId="1"/>
      <sheetData sheetId="2">
        <row r="3">
          <cell r="I3">
            <v>0.25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- المعطيات"/>
      <sheetName val="0-مواصفات المماسك"/>
      <sheetName val="1- تحديد الأبعاد الأولية"/>
      <sheetName val="2-تحديد الحمولات"/>
      <sheetName val="3- مسار الكابل"/>
      <sheetName val="4 - حساب قوة سبق الاجهاد"/>
      <sheetName val="4- تحقيق الاجهادات الناظمية"/>
      <sheetName val="5-تحقيق العزم في مرحلة الانكسار"/>
      <sheetName val="6-تحقيق القص في مرحلة انكسار"/>
      <sheetName val="7-الخواص الهندسية الصافية"/>
      <sheetName val="7-الحمولات الجديدة"/>
      <sheetName val="7-حساب قوة سبق اجهاد الجديدة"/>
      <sheetName val="9-حساب الضياعات في مقطع الحرج"/>
      <sheetName val="الجداول"/>
      <sheetName val="9-حساب الضياعات في وسط المجاز"/>
      <sheetName val="10- التسليح الإضافي عند المماسك"/>
      <sheetName val="ورقة1"/>
    </sheetNames>
    <sheetDataSet>
      <sheetData sheetId="0" refreshError="1">
        <row r="16">
          <cell r="K16">
            <v>1</v>
          </cell>
        </row>
      </sheetData>
      <sheetData sheetId="1" refreshError="1"/>
      <sheetData sheetId="2" refreshError="1">
        <row r="18">
          <cell r="B18" t="str">
            <v>المقطع</v>
          </cell>
          <cell r="C18" t="str">
            <v>x (m)</v>
          </cell>
          <cell r="D18" t="str">
            <v>h (m)</v>
          </cell>
          <cell r="E18" t="str">
            <v>tf (m)</v>
          </cell>
          <cell r="F18" t="str">
            <v>h-tf (m)</v>
          </cell>
          <cell r="G18" t="str">
            <v>bw (m)</v>
          </cell>
          <cell r="H18" t="str">
            <v>bf (m)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3" Type="http://schemas.openxmlformats.org/officeDocument/2006/relationships/vmlDrawing" Target="../drawings/vmlDrawing7.vml"/><Relationship Id="rId7" Type="http://schemas.openxmlformats.org/officeDocument/2006/relationships/image" Target="../media/image44.emf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6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43.emf"/><Relationship Id="rId4" Type="http://schemas.openxmlformats.org/officeDocument/2006/relationships/oleObject" Target="../embeddings/oleObject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ورقة1">
    <tabColor rgb="FFFFFF00"/>
  </sheetPr>
  <dimension ref="A1:AF53"/>
  <sheetViews>
    <sheetView showGridLines="0" topLeftCell="A37" workbookViewId="0">
      <selection activeCell="I23" sqref="I23"/>
    </sheetView>
  </sheetViews>
  <sheetFormatPr defaultColWidth="9" defaultRowHeight="15.75" x14ac:dyDescent="0.25"/>
  <cols>
    <col min="1" max="2" width="6.5703125" style="1" customWidth="1"/>
    <col min="3" max="3" width="6.5703125" style="3" customWidth="1"/>
    <col min="4" max="22" width="6.5703125" style="1" customWidth="1"/>
    <col min="23" max="16384" width="9" style="1"/>
  </cols>
  <sheetData>
    <row r="1" spans="1:32" ht="15" customHeight="1" thickBot="1" x14ac:dyDescent="0.3">
      <c r="A1" s="106" t="s">
        <v>77</v>
      </c>
      <c r="B1" s="106" t="s">
        <v>80</v>
      </c>
      <c r="C1" s="1"/>
      <c r="F1" s="108" t="s">
        <v>76</v>
      </c>
      <c r="G1" s="107">
        <v>0.05</v>
      </c>
      <c r="J1" s="106" t="s">
        <v>78</v>
      </c>
      <c r="K1" s="106" t="s">
        <v>79</v>
      </c>
      <c r="N1" s="108" t="s">
        <v>76</v>
      </c>
      <c r="O1" s="107">
        <v>0.05</v>
      </c>
      <c r="R1" s="360" t="s">
        <v>269</v>
      </c>
      <c r="S1" s="361"/>
      <c r="T1" s="362"/>
      <c r="U1" s="3"/>
    </row>
    <row r="2" spans="1:32" ht="15" customHeight="1" x14ac:dyDescent="0.25">
      <c r="C2" s="1"/>
    </row>
    <row r="3" spans="1:32" ht="15" customHeight="1" x14ac:dyDescent="0.25">
      <c r="C3" s="1"/>
    </row>
    <row r="4" spans="1:32" ht="15" customHeight="1" x14ac:dyDescent="0.25">
      <c r="C4" s="1"/>
    </row>
    <row r="5" spans="1:32" ht="15" customHeight="1" x14ac:dyDescent="0.25">
      <c r="C5" s="1"/>
    </row>
    <row r="6" spans="1:32" ht="15" customHeight="1" thickBot="1" x14ac:dyDescent="0.3">
      <c r="C6" s="1"/>
    </row>
    <row r="7" spans="1:32" ht="18" customHeight="1" thickBot="1" x14ac:dyDescent="0.3">
      <c r="C7" s="1"/>
      <c r="U7" s="108" t="s">
        <v>70</v>
      </c>
      <c r="V7" s="32">
        <v>0.8</v>
      </c>
    </row>
    <row r="8" spans="1:32" ht="15" customHeight="1" thickBot="1" x14ac:dyDescent="0.3">
      <c r="B8" s="108" t="s">
        <v>287</v>
      </c>
      <c r="C8" s="51">
        <f>P8+V8</f>
        <v>3.5999999999999996</v>
      </c>
      <c r="O8" s="108" t="s">
        <v>82</v>
      </c>
      <c r="P8" s="32">
        <v>2.8</v>
      </c>
      <c r="U8" s="108" t="s">
        <v>81</v>
      </c>
      <c r="V8" s="32">
        <v>0.8</v>
      </c>
    </row>
    <row r="9" spans="1:32" ht="15" customHeight="1" thickBot="1" x14ac:dyDescent="0.3">
      <c r="C9" s="1"/>
    </row>
    <row r="10" spans="1:32" ht="15" customHeight="1" thickBot="1" x14ac:dyDescent="0.3">
      <c r="C10" s="1"/>
      <c r="J10" s="108" t="s">
        <v>83</v>
      </c>
      <c r="K10" s="32">
        <v>30</v>
      </c>
      <c r="AC10" s="100"/>
      <c r="AD10" s="100"/>
      <c r="AE10" s="100"/>
      <c r="AF10" s="100"/>
    </row>
    <row r="11" spans="1:32" ht="15" customHeight="1" thickBot="1" x14ac:dyDescent="0.3">
      <c r="A11" s="365"/>
      <c r="B11" s="365"/>
      <c r="C11" s="365"/>
      <c r="D11" s="365"/>
      <c r="E11" s="365"/>
      <c r="F11" s="365"/>
      <c r="G11" s="365"/>
      <c r="H11" s="365"/>
      <c r="I11" s="365"/>
      <c r="J11" s="365"/>
      <c r="K11" s="365"/>
      <c r="L11" s="365"/>
      <c r="M11" s="365"/>
      <c r="N11" s="365"/>
      <c r="O11" s="365"/>
      <c r="P11" s="365"/>
      <c r="Q11" s="365"/>
      <c r="R11" s="365"/>
      <c r="S11" s="365"/>
      <c r="T11" s="365"/>
      <c r="U11" s="365"/>
      <c r="V11" s="365"/>
    </row>
    <row r="12" spans="1:32" ht="20.100000000000001" customHeight="1" thickBot="1" x14ac:dyDescent="0.3">
      <c r="B12" s="363" t="s">
        <v>84</v>
      </c>
      <c r="C12" s="364"/>
      <c r="S12" s="363" t="s">
        <v>86</v>
      </c>
      <c r="T12" s="364"/>
      <c r="X12" s="100"/>
      <c r="Y12" s="100"/>
      <c r="Z12" s="100"/>
      <c r="AC12" s="100"/>
      <c r="AD12" s="100"/>
      <c r="AE12" s="100"/>
    </row>
    <row r="13" spans="1:32" ht="20.100000000000001" customHeight="1" thickBot="1" x14ac:dyDescent="0.3">
      <c r="C13" s="1"/>
      <c r="D13" s="366" t="s">
        <v>85</v>
      </c>
      <c r="E13" s="367"/>
      <c r="J13" s="109" t="s">
        <v>5</v>
      </c>
      <c r="K13" s="131">
        <f>$K$10</f>
        <v>30</v>
      </c>
      <c r="L13" s="132" t="s">
        <v>4</v>
      </c>
      <c r="Q13" s="366" t="s">
        <v>87</v>
      </c>
      <c r="R13" s="367"/>
      <c r="U13" s="25"/>
      <c r="V13" s="25"/>
      <c r="W13" s="25"/>
      <c r="X13" s="100"/>
      <c r="Y13" s="100"/>
      <c r="Z13" s="100"/>
      <c r="AA13" s="100"/>
      <c r="AC13" s="100"/>
      <c r="AD13" s="100"/>
      <c r="AE13" s="100"/>
    </row>
    <row r="14" spans="1:32" ht="20.100000000000001" customHeight="1" thickBot="1" x14ac:dyDescent="0.3">
      <c r="C14" s="1"/>
      <c r="E14" s="366" t="s">
        <v>89</v>
      </c>
      <c r="F14" s="367"/>
      <c r="J14" s="110" t="s">
        <v>5</v>
      </c>
      <c r="K14" s="101">
        <f>$P$8</f>
        <v>2.8</v>
      </c>
      <c r="L14" s="133" t="s">
        <v>4</v>
      </c>
      <c r="P14" s="366" t="s">
        <v>88</v>
      </c>
      <c r="Q14" s="367"/>
      <c r="U14" s="25"/>
      <c r="V14" s="25"/>
      <c r="W14" s="25"/>
      <c r="X14" s="100"/>
      <c r="Y14" s="100"/>
      <c r="Z14" s="100"/>
      <c r="AC14" s="100"/>
      <c r="AD14" s="100"/>
      <c r="AE14" s="100"/>
    </row>
    <row r="15" spans="1:32" ht="20.100000000000001" customHeight="1" thickBot="1" x14ac:dyDescent="0.3">
      <c r="A15" s="3"/>
      <c r="B15" s="3"/>
      <c r="D15" s="3"/>
      <c r="E15" s="3"/>
      <c r="F15" s="366" t="s">
        <v>91</v>
      </c>
      <c r="G15" s="367"/>
      <c r="H15" s="3"/>
      <c r="I15" s="3"/>
      <c r="J15" s="110" t="s">
        <v>5</v>
      </c>
      <c r="K15" s="33">
        <v>5</v>
      </c>
      <c r="L15" s="133" t="s">
        <v>2</v>
      </c>
      <c r="O15" s="366" t="s">
        <v>90</v>
      </c>
      <c r="P15" s="367"/>
      <c r="U15" s="25"/>
      <c r="V15" s="25"/>
      <c r="W15" s="25"/>
      <c r="X15" s="100"/>
      <c r="Y15" s="100"/>
      <c r="Z15" s="100"/>
      <c r="AC15" s="100"/>
      <c r="AE15" s="100"/>
    </row>
    <row r="16" spans="1:32" ht="20.100000000000001" customHeight="1" thickBot="1" x14ac:dyDescent="0.3">
      <c r="A16" s="9"/>
      <c r="B16" s="9"/>
      <c r="C16" s="9"/>
      <c r="D16" s="9"/>
      <c r="E16" s="9"/>
      <c r="F16" s="9"/>
      <c r="G16" s="370" t="s">
        <v>93</v>
      </c>
      <c r="H16" s="371"/>
      <c r="I16" s="9"/>
      <c r="J16" s="110" t="s">
        <v>5</v>
      </c>
      <c r="K16" s="33">
        <v>1</v>
      </c>
      <c r="L16" s="133" t="s">
        <v>4</v>
      </c>
      <c r="N16" s="370" t="s">
        <v>92</v>
      </c>
      <c r="O16" s="371"/>
      <c r="T16" s="25"/>
      <c r="U16" s="25"/>
      <c r="V16" s="25"/>
      <c r="W16" s="25"/>
      <c r="X16" s="100"/>
      <c r="Y16" s="100"/>
      <c r="Z16" s="100"/>
      <c r="AA16" s="100"/>
      <c r="AB16" s="100"/>
      <c r="AC16" s="100"/>
      <c r="AD16" s="100"/>
      <c r="AE16" s="100"/>
    </row>
    <row r="17" spans="3:31" ht="20.100000000000001" customHeight="1" thickBot="1" x14ac:dyDescent="0.3">
      <c r="C17" s="1"/>
      <c r="H17" s="370" t="s">
        <v>95</v>
      </c>
      <c r="I17" s="371"/>
      <c r="J17" s="111" t="s">
        <v>5</v>
      </c>
      <c r="K17" s="124">
        <f>$V$7</f>
        <v>0.8</v>
      </c>
      <c r="L17" s="134" t="s">
        <v>4</v>
      </c>
      <c r="M17" s="370" t="s">
        <v>94</v>
      </c>
      <c r="N17" s="371"/>
      <c r="U17" s="26"/>
      <c r="V17" s="26"/>
      <c r="W17" s="25"/>
      <c r="X17" s="100"/>
      <c r="Y17" s="100"/>
      <c r="Z17" s="100"/>
      <c r="AA17" s="100"/>
      <c r="AB17" s="100"/>
      <c r="AC17" s="100"/>
      <c r="AD17" s="100"/>
      <c r="AE17" s="100"/>
    </row>
    <row r="18" spans="3:31" ht="20.100000000000001" customHeight="1" thickBot="1" x14ac:dyDescent="0.3">
      <c r="C18" s="1"/>
      <c r="X18" s="100"/>
      <c r="Y18" s="100"/>
      <c r="Z18" s="100"/>
      <c r="AA18" s="100"/>
      <c r="AB18" s="100"/>
      <c r="AC18" s="100"/>
      <c r="AD18" s="100"/>
      <c r="AE18" s="100"/>
    </row>
    <row r="19" spans="3:31" ht="20.100000000000001" customHeight="1" thickBot="1" x14ac:dyDescent="0.3">
      <c r="E19" s="368" t="s">
        <v>97</v>
      </c>
      <c r="F19" s="369"/>
      <c r="P19" s="368" t="s">
        <v>96</v>
      </c>
      <c r="Q19" s="369"/>
    </row>
    <row r="20" spans="3:31" ht="20.100000000000001" customHeight="1" thickBot="1" x14ac:dyDescent="0.3">
      <c r="C20" s="1"/>
      <c r="G20" s="378" t="s">
        <v>0</v>
      </c>
      <c r="H20" s="379"/>
      <c r="I20" s="34">
        <v>7</v>
      </c>
      <c r="J20" s="355" t="s">
        <v>181</v>
      </c>
      <c r="K20" s="356"/>
      <c r="L20" s="357" t="s">
        <v>98</v>
      </c>
      <c r="M20" s="358"/>
      <c r="N20" s="358"/>
      <c r="O20" s="359"/>
      <c r="S20" s="4"/>
      <c r="T20" s="27"/>
      <c r="U20" s="5"/>
      <c r="V20" s="3"/>
    </row>
    <row r="21" spans="3:31" ht="20.100000000000001" customHeight="1" thickBot="1" x14ac:dyDescent="0.3">
      <c r="G21" s="378" t="s">
        <v>0</v>
      </c>
      <c r="H21" s="379"/>
      <c r="I21" s="34">
        <v>15</v>
      </c>
      <c r="J21" s="355" t="s">
        <v>180</v>
      </c>
      <c r="K21" s="356"/>
      <c r="L21" s="357" t="s">
        <v>39</v>
      </c>
      <c r="M21" s="358"/>
      <c r="N21" s="358"/>
      <c r="O21" s="359"/>
      <c r="S21" s="4"/>
      <c r="T21" s="27"/>
      <c r="U21" s="5"/>
      <c r="V21" s="3"/>
    </row>
    <row r="22" spans="3:31" ht="20.100000000000001" customHeight="1" thickBot="1" x14ac:dyDescent="0.3">
      <c r="G22" s="378" t="s">
        <v>71</v>
      </c>
      <c r="H22" s="379"/>
      <c r="I22" s="34">
        <v>1860</v>
      </c>
      <c r="J22" s="355" t="s">
        <v>99</v>
      </c>
      <c r="K22" s="356"/>
      <c r="L22" s="372" t="s">
        <v>108</v>
      </c>
      <c r="M22" s="373"/>
      <c r="N22" s="373"/>
      <c r="O22" s="374"/>
      <c r="S22" s="4"/>
      <c r="T22" s="27"/>
      <c r="U22" s="5"/>
      <c r="V22" s="25"/>
    </row>
    <row r="23" spans="3:31" ht="20.100000000000001" customHeight="1" thickBot="1" x14ac:dyDescent="0.3">
      <c r="G23" s="378" t="s">
        <v>71</v>
      </c>
      <c r="H23" s="379" t="s">
        <v>71</v>
      </c>
      <c r="I23" s="34">
        <v>35</v>
      </c>
      <c r="J23" s="355" t="s">
        <v>179</v>
      </c>
      <c r="K23" s="356"/>
      <c r="L23" s="357" t="s">
        <v>109</v>
      </c>
      <c r="M23" s="358"/>
      <c r="N23" s="358"/>
      <c r="O23" s="359"/>
      <c r="S23" s="4"/>
      <c r="T23" s="27"/>
      <c r="U23" s="5"/>
      <c r="V23" s="25"/>
    </row>
    <row r="24" spans="3:31" ht="20.100000000000001" customHeight="1" thickBot="1" x14ac:dyDescent="0.3">
      <c r="G24" s="378" t="s">
        <v>71</v>
      </c>
      <c r="H24" s="379"/>
      <c r="I24" s="34">
        <f>0.8*I22</f>
        <v>1488</v>
      </c>
      <c r="J24" s="355" t="s">
        <v>100</v>
      </c>
      <c r="K24" s="356"/>
      <c r="L24" s="357" t="s">
        <v>3</v>
      </c>
      <c r="M24" s="358"/>
      <c r="N24" s="358"/>
      <c r="O24" s="359"/>
      <c r="S24" s="4"/>
      <c r="T24" s="27"/>
      <c r="U24" s="5"/>
      <c r="V24" s="25"/>
    </row>
    <row r="25" spans="3:31" ht="20.100000000000001" customHeight="1" thickBot="1" x14ac:dyDescent="0.3">
      <c r="G25" s="378" t="s">
        <v>71</v>
      </c>
      <c r="H25" s="379"/>
      <c r="I25" s="34">
        <f>I24*10/100</f>
        <v>148.80000000000001</v>
      </c>
      <c r="J25" s="355" t="s">
        <v>101</v>
      </c>
      <c r="K25" s="356"/>
      <c r="L25" s="357" t="s">
        <v>6</v>
      </c>
      <c r="M25" s="358"/>
      <c r="N25" s="358"/>
      <c r="O25" s="359"/>
      <c r="S25" s="4"/>
      <c r="T25" s="27"/>
      <c r="U25" s="28"/>
      <c r="V25" s="25"/>
    </row>
    <row r="26" spans="3:31" ht="20.100000000000001" customHeight="1" thickBot="1" x14ac:dyDescent="0.3">
      <c r="G26" s="378" t="s">
        <v>72</v>
      </c>
      <c r="H26" s="379"/>
      <c r="I26" s="34">
        <f>I24*20/100</f>
        <v>297.60000000000002</v>
      </c>
      <c r="J26" s="355" t="s">
        <v>102</v>
      </c>
      <c r="K26" s="356"/>
      <c r="L26" s="357" t="s">
        <v>7</v>
      </c>
      <c r="M26" s="358"/>
      <c r="N26" s="358"/>
      <c r="O26" s="359"/>
      <c r="T26" s="27"/>
      <c r="U26" s="28"/>
      <c r="V26" s="25"/>
    </row>
    <row r="27" spans="3:31" ht="20.100000000000001" customHeight="1" thickBot="1" x14ac:dyDescent="0.3">
      <c r="G27" s="378" t="s">
        <v>71</v>
      </c>
      <c r="H27" s="379"/>
      <c r="I27" s="34">
        <v>-18</v>
      </c>
      <c r="J27" s="355" t="s">
        <v>115</v>
      </c>
      <c r="K27" s="356"/>
      <c r="L27" s="372" t="s">
        <v>110</v>
      </c>
      <c r="M27" s="373"/>
      <c r="N27" s="373"/>
      <c r="O27" s="374"/>
      <c r="S27" s="4"/>
      <c r="T27" s="27"/>
      <c r="U27" s="5"/>
      <c r="V27" s="25"/>
    </row>
    <row r="28" spans="3:31" ht="20.100000000000001" customHeight="1" thickBot="1" x14ac:dyDescent="0.3">
      <c r="G28" s="378" t="s">
        <v>71</v>
      </c>
      <c r="H28" s="379"/>
      <c r="I28" s="34">
        <v>4</v>
      </c>
      <c r="J28" s="355" t="s">
        <v>156</v>
      </c>
      <c r="K28" s="356"/>
      <c r="L28" s="372" t="s">
        <v>111</v>
      </c>
      <c r="M28" s="373"/>
      <c r="N28" s="373"/>
      <c r="O28" s="374"/>
      <c r="S28" s="4"/>
      <c r="T28" s="27"/>
      <c r="U28" s="5"/>
      <c r="V28" s="25"/>
    </row>
    <row r="29" spans="3:31" ht="20.100000000000001" customHeight="1" thickBot="1" x14ac:dyDescent="0.3">
      <c r="G29" s="378" t="s">
        <v>73</v>
      </c>
      <c r="H29" s="379"/>
      <c r="I29" s="34">
        <v>-16</v>
      </c>
      <c r="J29" s="355" t="s">
        <v>116</v>
      </c>
      <c r="K29" s="356"/>
      <c r="L29" s="375" t="s">
        <v>112</v>
      </c>
      <c r="M29" s="376"/>
      <c r="N29" s="376"/>
      <c r="O29" s="377"/>
      <c r="S29" s="4"/>
      <c r="T29" s="27"/>
      <c r="U29" s="5"/>
      <c r="V29" s="25"/>
    </row>
    <row r="30" spans="3:31" ht="20.100000000000001" customHeight="1" thickBot="1" x14ac:dyDescent="0.3">
      <c r="G30" s="378" t="s">
        <v>73</v>
      </c>
      <c r="H30" s="379"/>
      <c r="I30" s="34">
        <v>2.5</v>
      </c>
      <c r="J30" s="355" t="s">
        <v>103</v>
      </c>
      <c r="K30" s="356"/>
      <c r="L30" s="372" t="s">
        <v>113</v>
      </c>
      <c r="M30" s="373"/>
      <c r="N30" s="373"/>
      <c r="O30" s="374"/>
      <c r="S30" s="4"/>
      <c r="T30" s="27"/>
      <c r="U30" s="5"/>
      <c r="V30" s="25"/>
    </row>
    <row r="31" spans="3:31" ht="20.100000000000001" customHeight="1" thickBot="1" x14ac:dyDescent="0.3">
      <c r="G31" s="378" t="s">
        <v>74</v>
      </c>
      <c r="H31" s="379"/>
      <c r="I31" s="34">
        <v>32</v>
      </c>
      <c r="J31" s="355" t="s">
        <v>104</v>
      </c>
      <c r="K31" s="356"/>
      <c r="L31" s="357" t="s">
        <v>8</v>
      </c>
      <c r="M31" s="358"/>
      <c r="N31" s="358"/>
      <c r="O31" s="359"/>
      <c r="S31" s="4"/>
      <c r="T31" s="27"/>
      <c r="U31" s="5"/>
      <c r="V31" s="25"/>
    </row>
    <row r="32" spans="3:31" ht="20.100000000000001" customHeight="1" thickBot="1" x14ac:dyDescent="0.3">
      <c r="G32" s="378" t="s">
        <v>74</v>
      </c>
      <c r="H32" s="379"/>
      <c r="I32" s="34">
        <v>200</v>
      </c>
      <c r="J32" s="355" t="s">
        <v>105</v>
      </c>
      <c r="K32" s="356"/>
      <c r="L32" s="357" t="s">
        <v>9</v>
      </c>
      <c r="M32" s="358"/>
      <c r="N32" s="358"/>
      <c r="O32" s="359"/>
      <c r="S32" s="4"/>
      <c r="T32" s="27"/>
      <c r="U32" s="5"/>
      <c r="V32" s="25"/>
    </row>
    <row r="33" spans="3:23" ht="20.100000000000001" customHeight="1" thickBot="1" x14ac:dyDescent="0.3">
      <c r="G33" s="378"/>
      <c r="H33" s="379"/>
      <c r="I33" s="34">
        <v>0.3</v>
      </c>
      <c r="J33" s="355" t="s">
        <v>10</v>
      </c>
      <c r="K33" s="356"/>
      <c r="L33" s="357" t="s">
        <v>11</v>
      </c>
      <c r="M33" s="358"/>
      <c r="N33" s="358"/>
      <c r="O33" s="359"/>
      <c r="S33" s="4"/>
      <c r="T33" s="4"/>
      <c r="U33" s="29"/>
      <c r="V33" s="25"/>
    </row>
    <row r="34" spans="3:23" ht="20.100000000000001" customHeight="1" thickBot="1" x14ac:dyDescent="0.3">
      <c r="G34" s="378"/>
      <c r="H34" s="379"/>
      <c r="I34" s="34">
        <v>3.3E-3</v>
      </c>
      <c r="J34" s="355" t="s">
        <v>12</v>
      </c>
      <c r="K34" s="356"/>
      <c r="L34" s="357" t="s">
        <v>13</v>
      </c>
      <c r="M34" s="358"/>
      <c r="N34" s="358"/>
      <c r="O34" s="359"/>
      <c r="S34" s="4"/>
      <c r="T34" s="4"/>
      <c r="U34" s="29"/>
      <c r="V34" s="25"/>
    </row>
    <row r="35" spans="3:23" ht="20.100000000000001" customHeight="1" thickBot="1" x14ac:dyDescent="0.3">
      <c r="G35" s="378" t="s">
        <v>75</v>
      </c>
      <c r="H35" s="379"/>
      <c r="I35" s="34">
        <v>70</v>
      </c>
      <c r="J35" s="355" t="s">
        <v>174</v>
      </c>
      <c r="K35" s="356"/>
      <c r="L35" s="357" t="s">
        <v>14</v>
      </c>
      <c r="M35" s="358"/>
      <c r="N35" s="358"/>
      <c r="O35" s="359"/>
      <c r="S35" s="4"/>
      <c r="T35" s="4"/>
      <c r="U35" s="30"/>
      <c r="V35" s="25"/>
    </row>
    <row r="36" spans="3:23" ht="20.100000000000001" customHeight="1" thickBot="1" x14ac:dyDescent="0.3">
      <c r="G36" s="378" t="s">
        <v>15</v>
      </c>
      <c r="H36" s="379"/>
      <c r="I36" s="34">
        <v>2</v>
      </c>
      <c r="J36" s="355" t="s">
        <v>175</v>
      </c>
      <c r="K36" s="356"/>
      <c r="L36" s="357" t="s">
        <v>16</v>
      </c>
      <c r="M36" s="358"/>
      <c r="N36" s="358"/>
      <c r="O36" s="359"/>
      <c r="S36" s="4"/>
      <c r="T36" s="4"/>
      <c r="U36" s="29"/>
      <c r="V36" s="25"/>
    </row>
    <row r="37" spans="3:23" ht="20.100000000000001" customHeight="1" thickBot="1" x14ac:dyDescent="0.3">
      <c r="G37" s="378"/>
      <c r="H37" s="379"/>
      <c r="I37" s="34" t="s">
        <v>17</v>
      </c>
      <c r="J37" s="355" t="s">
        <v>18</v>
      </c>
      <c r="K37" s="356"/>
      <c r="L37" s="357" t="s">
        <v>19</v>
      </c>
      <c r="M37" s="358"/>
      <c r="N37" s="358"/>
      <c r="O37" s="359"/>
      <c r="S37" s="4"/>
      <c r="T37" s="31"/>
      <c r="U37" s="29"/>
      <c r="V37" s="25"/>
    </row>
    <row r="38" spans="3:23" ht="20.100000000000001" customHeight="1" thickBot="1" x14ac:dyDescent="0.3">
      <c r="G38" s="378" t="s">
        <v>114</v>
      </c>
      <c r="H38" s="379"/>
      <c r="I38" s="34">
        <v>400</v>
      </c>
      <c r="J38" s="355"/>
      <c r="K38" s="356"/>
      <c r="L38" s="357" t="s">
        <v>20</v>
      </c>
      <c r="M38" s="358"/>
      <c r="N38" s="358"/>
      <c r="O38" s="359"/>
      <c r="S38" s="4"/>
      <c r="T38" s="4"/>
      <c r="U38" s="29"/>
      <c r="V38" s="25"/>
    </row>
    <row r="39" spans="3:23" ht="20.100000000000001" customHeight="1" thickBot="1" x14ac:dyDescent="0.3">
      <c r="G39" s="378"/>
      <c r="H39" s="379"/>
      <c r="I39" s="34">
        <v>0.5</v>
      </c>
      <c r="J39" s="355" t="s">
        <v>21</v>
      </c>
      <c r="K39" s="356"/>
      <c r="L39" s="357" t="s">
        <v>22</v>
      </c>
      <c r="M39" s="358"/>
      <c r="N39" s="358"/>
      <c r="O39" s="359"/>
      <c r="S39" s="4"/>
      <c r="T39" s="4"/>
      <c r="U39" s="5"/>
      <c r="V39" s="25"/>
    </row>
    <row r="40" spans="3:23" ht="20.100000000000001" customHeight="1" thickBot="1" x14ac:dyDescent="0.3">
      <c r="G40" s="378"/>
      <c r="H40" s="379"/>
      <c r="I40" s="34" t="s">
        <v>23</v>
      </c>
      <c r="J40" s="355"/>
      <c r="K40" s="356"/>
      <c r="L40" s="357" t="s">
        <v>24</v>
      </c>
      <c r="M40" s="358"/>
      <c r="N40" s="358"/>
      <c r="O40" s="359"/>
      <c r="S40" s="4"/>
      <c r="T40" s="4"/>
      <c r="U40" s="5"/>
      <c r="V40" s="25"/>
    </row>
    <row r="41" spans="3:23" ht="20.100000000000001" customHeight="1" thickBot="1" x14ac:dyDescent="0.3">
      <c r="G41" s="378" t="s">
        <v>25</v>
      </c>
      <c r="H41" s="379"/>
      <c r="I41" s="34">
        <v>28</v>
      </c>
      <c r="J41" s="355"/>
      <c r="K41" s="356"/>
      <c r="L41" s="357" t="s">
        <v>268</v>
      </c>
      <c r="M41" s="358"/>
      <c r="N41" s="358"/>
      <c r="O41" s="359"/>
      <c r="S41" s="25"/>
      <c r="T41" s="25"/>
      <c r="U41" s="25"/>
      <c r="V41" s="25"/>
      <c r="W41" s="25"/>
    </row>
    <row r="42" spans="3:23" s="240" customFormat="1" ht="20.100000000000001" customHeight="1" thickBot="1" x14ac:dyDescent="0.3">
      <c r="C42" s="41"/>
      <c r="G42" s="243"/>
      <c r="H42" s="244"/>
      <c r="I42" s="34">
        <v>7</v>
      </c>
      <c r="J42" s="241"/>
      <c r="K42" s="242"/>
      <c r="L42" s="357" t="s">
        <v>344</v>
      </c>
      <c r="M42" s="358"/>
      <c r="N42" s="358"/>
      <c r="O42" s="359"/>
      <c r="S42" s="25"/>
      <c r="T42" s="25"/>
      <c r="U42" s="25"/>
      <c r="V42" s="25"/>
      <c r="W42" s="25"/>
    </row>
    <row r="43" spans="3:23" s="56" customFormat="1" ht="20.100000000000001" customHeight="1" thickBot="1" x14ac:dyDescent="0.3">
      <c r="C43" s="41"/>
      <c r="G43" s="378"/>
      <c r="H43" s="379"/>
      <c r="I43" s="57" t="s">
        <v>17</v>
      </c>
      <c r="J43" s="355"/>
      <c r="K43" s="356"/>
      <c r="L43" s="357" t="s">
        <v>197</v>
      </c>
      <c r="M43" s="358"/>
      <c r="N43" s="358"/>
      <c r="O43" s="359"/>
      <c r="S43" s="25"/>
      <c r="T43" s="25"/>
      <c r="U43" s="25"/>
      <c r="V43" s="25"/>
      <c r="W43" s="25"/>
    </row>
    <row r="44" spans="3:23" s="299" customFormat="1" ht="20.100000000000001" customHeight="1" thickBot="1" x14ac:dyDescent="0.3">
      <c r="C44" s="41"/>
      <c r="G44" s="378" t="s">
        <v>389</v>
      </c>
      <c r="H44" s="379"/>
      <c r="I44" s="57">
        <v>1.1020000000000001</v>
      </c>
      <c r="J44" s="355" t="s">
        <v>390</v>
      </c>
      <c r="K44" s="356"/>
      <c r="L44" s="357" t="s">
        <v>391</v>
      </c>
      <c r="M44" s="358"/>
      <c r="N44" s="358"/>
      <c r="O44" s="359"/>
      <c r="S44" s="25"/>
      <c r="T44" s="25"/>
      <c r="U44" s="25"/>
      <c r="V44" s="25"/>
      <c r="W44" s="25"/>
    </row>
    <row r="45" spans="3:23" ht="20.100000000000001" customHeight="1" thickBot="1" x14ac:dyDescent="0.3">
      <c r="G45" s="303"/>
      <c r="H45" s="304"/>
      <c r="I45" s="34">
        <v>0.9</v>
      </c>
      <c r="J45" s="355" t="s">
        <v>26</v>
      </c>
      <c r="K45" s="356"/>
      <c r="L45" s="300"/>
      <c r="M45" s="301"/>
      <c r="N45" s="301"/>
      <c r="O45" s="302"/>
      <c r="S45" s="25"/>
      <c r="T45" s="25"/>
      <c r="U45" s="25"/>
      <c r="V45" s="25"/>
      <c r="W45" s="25"/>
    </row>
    <row r="46" spans="3:23" ht="20.100000000000001" customHeight="1" thickBot="1" x14ac:dyDescent="0.3">
      <c r="G46" s="378" t="s">
        <v>73</v>
      </c>
      <c r="H46" s="379"/>
      <c r="I46" s="34">
        <v>400</v>
      </c>
      <c r="J46" s="355" t="s">
        <v>106</v>
      </c>
      <c r="K46" s="356"/>
      <c r="L46" s="357"/>
      <c r="M46" s="358"/>
      <c r="N46" s="358"/>
      <c r="O46" s="359"/>
      <c r="S46" s="25"/>
      <c r="T46" s="25"/>
      <c r="U46" s="25"/>
      <c r="V46" s="25"/>
      <c r="W46" s="25"/>
    </row>
    <row r="47" spans="3:23" ht="20.100000000000001" customHeight="1" thickBot="1" x14ac:dyDescent="0.3">
      <c r="G47" s="378" t="s">
        <v>27</v>
      </c>
      <c r="H47" s="379"/>
      <c r="I47" s="34">
        <v>18</v>
      </c>
      <c r="J47" s="355" t="s">
        <v>107</v>
      </c>
      <c r="K47" s="356"/>
      <c r="L47" s="357"/>
      <c r="M47" s="358"/>
      <c r="N47" s="358"/>
      <c r="O47" s="359"/>
      <c r="S47" s="25"/>
      <c r="T47" s="25"/>
      <c r="U47" s="25"/>
      <c r="V47" s="25"/>
      <c r="W47" s="25"/>
    </row>
    <row r="48" spans="3:23" ht="20.100000000000001" customHeight="1" x14ac:dyDescent="0.25">
      <c r="P48" s="11"/>
      <c r="Q48" s="3"/>
      <c r="S48" s="25"/>
      <c r="T48" s="25"/>
      <c r="U48" s="25"/>
      <c r="V48" s="25"/>
      <c r="W48" s="25"/>
    </row>
    <row r="49" spans="1:23" ht="15" customHeight="1" x14ac:dyDescent="0.25">
      <c r="H49" s="11"/>
      <c r="I49" s="11"/>
      <c r="J49" s="11"/>
      <c r="K49" s="11"/>
      <c r="L49" s="11"/>
      <c r="M49" s="11"/>
      <c r="N49" s="11"/>
      <c r="O49" s="11"/>
      <c r="P49" s="11"/>
      <c r="S49" s="25"/>
      <c r="T49" s="25"/>
      <c r="U49" s="25"/>
      <c r="V49" s="25"/>
      <c r="W49" s="25"/>
    </row>
    <row r="50" spans="1:23" ht="15" customHeight="1" x14ac:dyDescent="0.25">
      <c r="H50" s="11"/>
      <c r="I50" s="11"/>
      <c r="J50" s="11"/>
      <c r="K50" s="11"/>
      <c r="L50" s="11"/>
      <c r="M50" s="11"/>
      <c r="N50" s="11"/>
      <c r="O50" s="11"/>
      <c r="P50" s="11"/>
      <c r="S50" s="25"/>
      <c r="T50" s="25"/>
      <c r="U50" s="25"/>
      <c r="V50" s="25"/>
      <c r="W50" s="25"/>
    </row>
    <row r="51" spans="1:23" ht="15" customHeight="1" x14ac:dyDescent="0.25">
      <c r="A51" s="4"/>
      <c r="B51" s="4"/>
      <c r="C51" s="5"/>
    </row>
    <row r="52" spans="1:23" ht="15" customHeight="1" x14ac:dyDescent="0.25">
      <c r="A52" s="6"/>
      <c r="B52" s="6"/>
      <c r="C52" s="7"/>
      <c r="D52" s="8"/>
    </row>
    <row r="53" spans="1:23" ht="15" customHeight="1" x14ac:dyDescent="0.25"/>
  </sheetData>
  <mergeCells count="96">
    <mergeCell ref="G46:H46"/>
    <mergeCell ref="G47:H47"/>
    <mergeCell ref="G30:H30"/>
    <mergeCell ref="G31:H31"/>
    <mergeCell ref="G32:H32"/>
    <mergeCell ref="G33:H33"/>
    <mergeCell ref="G34:H34"/>
    <mergeCell ref="G38:H38"/>
    <mergeCell ref="G39:H39"/>
    <mergeCell ref="G40:H40"/>
    <mergeCell ref="G41:H41"/>
    <mergeCell ref="G35:H35"/>
    <mergeCell ref="G36:H36"/>
    <mergeCell ref="G37:H37"/>
    <mergeCell ref="G43:H43"/>
    <mergeCell ref="G44:H44"/>
    <mergeCell ref="G25:H25"/>
    <mergeCell ref="G26:H26"/>
    <mergeCell ref="G27:H27"/>
    <mergeCell ref="G28:H28"/>
    <mergeCell ref="G29:H29"/>
    <mergeCell ref="G20:H20"/>
    <mergeCell ref="G21:H21"/>
    <mergeCell ref="G22:H22"/>
    <mergeCell ref="G23:H23"/>
    <mergeCell ref="G24:H24"/>
    <mergeCell ref="J47:K47"/>
    <mergeCell ref="L20:O20"/>
    <mergeCell ref="L21:O21"/>
    <mergeCell ref="J34:K34"/>
    <mergeCell ref="J35:K35"/>
    <mergeCell ref="J36:K36"/>
    <mergeCell ref="J37:K37"/>
    <mergeCell ref="J38:K38"/>
    <mergeCell ref="J20:K20"/>
    <mergeCell ref="J21:K21"/>
    <mergeCell ref="J22:K22"/>
    <mergeCell ref="J23:K23"/>
    <mergeCell ref="J24:K24"/>
    <mergeCell ref="J25:K25"/>
    <mergeCell ref="J26:K26"/>
    <mergeCell ref="J27:K27"/>
    <mergeCell ref="L46:O46"/>
    <mergeCell ref="J40:K40"/>
    <mergeCell ref="J41:K41"/>
    <mergeCell ref="L37:O37"/>
    <mergeCell ref="J45:K45"/>
    <mergeCell ref="J46:K46"/>
    <mergeCell ref="L43:O43"/>
    <mergeCell ref="L42:O42"/>
    <mergeCell ref="J43:K43"/>
    <mergeCell ref="J44:K44"/>
    <mergeCell ref="L44:O44"/>
    <mergeCell ref="J39:K39"/>
    <mergeCell ref="L47:O47"/>
    <mergeCell ref="L22:O22"/>
    <mergeCell ref="L23:O23"/>
    <mergeCell ref="L24:O24"/>
    <mergeCell ref="L25:O25"/>
    <mergeCell ref="L26:O26"/>
    <mergeCell ref="L27:O27"/>
    <mergeCell ref="L28:O28"/>
    <mergeCell ref="L29:O29"/>
    <mergeCell ref="L30:O30"/>
    <mergeCell ref="L38:O38"/>
    <mergeCell ref="L39:O39"/>
    <mergeCell ref="L40:O40"/>
    <mergeCell ref="L41:O41"/>
    <mergeCell ref="L31:O31"/>
    <mergeCell ref="L32:O32"/>
    <mergeCell ref="P14:Q14"/>
    <mergeCell ref="E14:F14"/>
    <mergeCell ref="P19:Q19"/>
    <mergeCell ref="E19:F19"/>
    <mergeCell ref="N16:O16"/>
    <mergeCell ref="G16:H16"/>
    <mergeCell ref="M17:N17"/>
    <mergeCell ref="H17:I17"/>
    <mergeCell ref="O15:P15"/>
    <mergeCell ref="F15:G15"/>
    <mergeCell ref="R1:T1"/>
    <mergeCell ref="B12:C12"/>
    <mergeCell ref="S12:T12"/>
    <mergeCell ref="A11:V11"/>
    <mergeCell ref="D13:E13"/>
    <mergeCell ref="Q13:R13"/>
    <mergeCell ref="L33:O33"/>
    <mergeCell ref="L34:O34"/>
    <mergeCell ref="L35:O35"/>
    <mergeCell ref="L36:O36"/>
    <mergeCell ref="J33:K33"/>
    <mergeCell ref="J28:K28"/>
    <mergeCell ref="J29:K29"/>
    <mergeCell ref="J30:K30"/>
    <mergeCell ref="J31:K31"/>
    <mergeCell ref="J32:K32"/>
  </mergeCells>
  <printOptions horizontalCentered="1" verticalCentered="1"/>
  <pageMargins left="0.23622047244094491" right="0.1" top="0.39370078740157483" bottom="0.39370078740157483" header="0.11811023622047245" footer="0.19685039370078741"/>
  <pageSetup paperSize="9" scale="95" orientation="landscape" horizontalDpi="2400" verticalDpi="2400" r:id="rId1"/>
  <rowBreaks count="1" manualBreakCount="1">
    <brk id="17" max="16383" man="1"/>
  </rowBreaks>
  <colBreaks count="1" manualBreakCount="1">
    <brk id="22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T40"/>
  <sheetViews>
    <sheetView showGridLines="0" topLeftCell="B16" zoomScale="70" zoomScaleNormal="70" workbookViewId="0">
      <selection activeCell="B22" sqref="B22:Q40"/>
    </sheetView>
  </sheetViews>
  <sheetFormatPr defaultColWidth="9" defaultRowHeight="20.25" x14ac:dyDescent="0.25"/>
  <cols>
    <col min="1" max="1" width="11.42578125" style="102" hidden="1" customWidth="1"/>
    <col min="2" max="2" width="13.7109375" style="102" customWidth="1"/>
    <col min="3" max="3" width="9.5703125" style="102" customWidth="1"/>
    <col min="4" max="4" width="9.85546875" style="102" customWidth="1"/>
    <col min="5" max="5" width="10.140625" style="102" customWidth="1"/>
    <col min="6" max="6" width="12.140625" style="102" customWidth="1"/>
    <col min="7" max="7" width="11.85546875" style="102" customWidth="1"/>
    <col min="8" max="8" width="9" style="102"/>
    <col min="9" max="9" width="14.85546875" style="102" customWidth="1"/>
    <col min="10" max="10" width="12.5703125" style="102" bestFit="1" customWidth="1"/>
    <col min="11" max="11" width="14.42578125" style="102" bestFit="1" customWidth="1"/>
    <col min="12" max="12" width="18.140625" style="102" customWidth="1"/>
    <col min="13" max="13" width="17.140625" style="102" customWidth="1"/>
    <col min="14" max="15" width="16.42578125" style="102" bestFit="1" customWidth="1"/>
    <col min="16" max="16" width="18.42578125" style="102" bestFit="1" customWidth="1"/>
    <col min="17" max="17" width="12.5703125" style="102" customWidth="1"/>
    <col min="18" max="18" width="12.28515625" style="102" hidden="1" customWidth="1"/>
    <col min="19" max="20" width="11.140625" style="102" hidden="1" customWidth="1"/>
    <col min="21" max="16384" width="9" style="102"/>
  </cols>
  <sheetData>
    <row r="1" spans="2:16" ht="28.5" customHeight="1" thickBot="1" x14ac:dyDescent="0.3">
      <c r="B1" s="460" t="s">
        <v>380</v>
      </c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  <c r="N1" s="461"/>
      <c r="O1" s="461"/>
      <c r="P1" s="462"/>
    </row>
    <row r="2" spans="2:16" ht="28.5" customHeight="1" thickBot="1" x14ac:dyDescent="0.3">
      <c r="B2" s="481" t="s">
        <v>372</v>
      </c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2"/>
      <c r="P2" s="483"/>
    </row>
    <row r="3" spans="2:16" ht="24" customHeight="1" thickBot="1" x14ac:dyDescent="0.3">
      <c r="B3" s="282" t="str">
        <f>'[2]1- تحديد الأبعاد الأولية'!B18</f>
        <v>المقطع</v>
      </c>
      <c r="C3" s="273" t="str">
        <f>'[2]1- تحديد الأبعاد الأولية'!C18</f>
        <v>x (m)</v>
      </c>
      <c r="D3" s="273" t="str">
        <f>'[2]1- تحديد الأبعاد الأولية'!D18</f>
        <v>h (m)</v>
      </c>
      <c r="E3" s="273" t="str">
        <f>'[2]1- تحديد الأبعاد الأولية'!E18</f>
        <v>tf (m)</v>
      </c>
      <c r="F3" s="273" t="str">
        <f>'[2]1- تحديد الأبعاد الأولية'!F18</f>
        <v>h-tf (m)</v>
      </c>
      <c r="G3" s="273" t="str">
        <f>'[2]1- تحديد الأبعاد الأولية'!G18</f>
        <v>bw (m)</v>
      </c>
      <c r="H3" s="273" t="str">
        <f>'[2]1- تحديد الأبعاد الأولية'!H18</f>
        <v>bf (m)</v>
      </c>
      <c r="I3" s="273" t="s">
        <v>373</v>
      </c>
      <c r="J3" s="273" t="s">
        <v>374</v>
      </c>
      <c r="K3" s="273" t="s">
        <v>375</v>
      </c>
      <c r="L3" s="273" t="s">
        <v>376</v>
      </c>
      <c r="M3" s="273" t="s">
        <v>377</v>
      </c>
      <c r="N3" s="273" t="s">
        <v>378</v>
      </c>
      <c r="O3" s="273" t="s">
        <v>379</v>
      </c>
      <c r="P3" s="283" t="s">
        <v>172</v>
      </c>
    </row>
    <row r="4" spans="2:16" x14ac:dyDescent="0.25">
      <c r="B4" s="284">
        <f>'1- تحديد الأبعاد الأولية'!B19</f>
        <v>0</v>
      </c>
      <c r="C4" s="285">
        <f>'1- تحديد الأبعاد الأولية'!C19</f>
        <v>0</v>
      </c>
      <c r="D4" s="286">
        <f>'1- تحديد الأبعاد الأولية'!D19</f>
        <v>2</v>
      </c>
      <c r="E4" s="287">
        <f>'1- تحديد الأبعاد الأولية'!E19</f>
        <v>0.25</v>
      </c>
      <c r="F4" s="286">
        <f>'1- تحديد الأبعاد الأولية'!F19</f>
        <v>1.75</v>
      </c>
      <c r="G4" s="288">
        <f>'1- تحديد الأبعاد الأولية'!G19</f>
        <v>0.4</v>
      </c>
      <c r="H4" s="286">
        <f>'1- تحديد الأبعاد الأولية'!H19</f>
        <v>0.6</v>
      </c>
      <c r="I4" s="289">
        <f>(VLOOKUP('3- مسار الكابل'!$D$33+6800,'مواصفات المماسك'!$B$2:$I$18,3,FALSE))^2*PI()/4*'3- مسار الكابل'!$D$34/1000000</f>
        <v>1.5393804002589986E-2</v>
      </c>
      <c r="J4" s="286">
        <f>'1- تحديد الأبعاد الأولية'!I19 -I4</f>
        <v>0.83460619599741015</v>
      </c>
      <c r="K4" s="289">
        <f>D4-L4</f>
        <v>0.93190233468818184</v>
      </c>
      <c r="L4" s="289">
        <f>((E4*H4)*(D4-E4/2)+F4*G4*F4/2-I4*'3- مسار الكابل'!C10)/J4</f>
        <v>1.0680976653118182</v>
      </c>
      <c r="M4" s="289">
        <f>(E4^3*H4/12+E4*H4*(K4-E4/2)^2+F4^3*G4/12+(F4*G4)*(L4-F4/2)^2-I4*(L4-'3- مسار الكابل'!C10)^2-PI()/64*'3- مسار الكابل'!$E$34*(VLOOKUP('3- مسار الكابل'!$D$33+6800,'مواصفات المماسك'!$B$2:$I$18,3,FALSE)/1000)^2)</f>
        <v>0.29021599728815262</v>
      </c>
      <c r="N4" s="289">
        <f>M4/K4</f>
        <v>0.311423189411002</v>
      </c>
      <c r="O4" s="289">
        <f>M4/L4</f>
        <v>0.27171297786090337</v>
      </c>
      <c r="P4" s="290">
        <f>L4-'3- مسار الكابل'!C10</f>
        <v>0.91809766531181813</v>
      </c>
    </row>
    <row r="5" spans="2:16" x14ac:dyDescent="0.25">
      <c r="B5" s="140">
        <f>'1- تحديد الأبعاد الأولية'!B20</f>
        <v>1</v>
      </c>
      <c r="C5" s="246">
        <f>'1- تحديد الأبعاد الأولية'!C20</f>
        <v>1</v>
      </c>
      <c r="D5" s="152">
        <f>'1- تحديد الأبعاد الأولية'!D20</f>
        <v>1.95</v>
      </c>
      <c r="E5" s="274">
        <f>'1- تحديد الأبعاد الأولية'!E20</f>
        <v>0.25</v>
      </c>
      <c r="F5" s="152">
        <f>'1- تحديد الأبعاد الأولية'!F20</f>
        <v>1.7</v>
      </c>
      <c r="G5" s="245">
        <f>'1- تحديد الأبعاد الأولية'!G20</f>
        <v>0.4</v>
      </c>
      <c r="H5" s="152">
        <f>'1- تحديد الأبعاد الأولية'!H20</f>
        <v>0.6</v>
      </c>
      <c r="I5" s="275">
        <f>(VLOOKUP('3- مسار الكابل'!$D$33+6800,'مواصفات المماسك'!$B$2:$I$18,3,FALSE))^2*PI()/4*'3- مسار الكابل'!$D$34/1000000</f>
        <v>1.5393804002589986E-2</v>
      </c>
      <c r="J5" s="152">
        <f>'1- تحديد الأبعاد الأولية'!I20 -I5</f>
        <v>0.81460619599741013</v>
      </c>
      <c r="K5" s="275">
        <f t="shared" ref="K5:K20" si="0">D5-L5</f>
        <v>0.90727722727554605</v>
      </c>
      <c r="L5" s="275">
        <f>((E5*H5)*(D5-E5/2)+F5*G5*F5/2-I5*'3- مسار الكابل'!C11)/J5</f>
        <v>1.0427227727244539</v>
      </c>
      <c r="M5" s="275">
        <f>(E5^3*H5/12+E5*H5*(K5-E5/2)^2+F5^3*G5/12+(F5*G5)*(L5-F5/2)^2-I5*(L5-'3- مسار الكابل'!C11)^2-PI()/64*'3- مسار الكابل'!$E$34*(VLOOKUP('3- مسار الكابل'!$D$33+6800,'مواصفات المماسك'!$B$2:$I$18,3,FALSE)/1000)^2)</f>
        <v>0.2693879733279036</v>
      </c>
      <c r="N5" s="275">
        <f t="shared" ref="N5:N20" si="1">M5/K5</f>
        <v>0.29691913918841117</v>
      </c>
      <c r="O5" s="275">
        <f t="shared" ref="O5:O20" si="2">M5/L5</f>
        <v>0.25835052266484937</v>
      </c>
      <c r="P5" s="276">
        <f>L5-'3- مسار الكابل'!C11</f>
        <v>0.89061166161334282</v>
      </c>
    </row>
    <row r="6" spans="2:16" x14ac:dyDescent="0.25">
      <c r="B6" s="140">
        <f>'1- تحديد الأبعاد الأولية'!B21</f>
        <v>2</v>
      </c>
      <c r="C6" s="246">
        <f>'1- تحديد الأبعاد الأولية'!C21</f>
        <v>2</v>
      </c>
      <c r="D6" s="152">
        <f>'1- تحديد الأبعاد الأولية'!D21</f>
        <v>1.9</v>
      </c>
      <c r="E6" s="274">
        <f>'1- تحديد الأبعاد الأولية'!E21</f>
        <v>0.25</v>
      </c>
      <c r="F6" s="152">
        <f>'1- تحديد الأبعاد الأولية'!F21</f>
        <v>1.65</v>
      </c>
      <c r="G6" s="245">
        <f>'1- تحديد الأبعاد الأولية'!G21</f>
        <v>0.4</v>
      </c>
      <c r="H6" s="152">
        <f>'1- تحديد الأبعاد الأولية'!H21</f>
        <v>0.6</v>
      </c>
      <c r="I6" s="275">
        <f>(VLOOKUP('3- مسار الكابل'!$D$33+6800,'مواصفات المماسك'!$B$2:$I$18,3,FALSE))^2*PI()/4*'3- مسار الكابل'!$D$34/1000000</f>
        <v>1.5393804002589986E-2</v>
      </c>
      <c r="J6" s="152">
        <f>'1- تحديد الأبعاد الأولية'!I21 -I6</f>
        <v>0.79460619599741011</v>
      </c>
      <c r="K6" s="275">
        <f t="shared" si="0"/>
        <v>0.88275278830124093</v>
      </c>
      <c r="L6" s="275">
        <f>((E6*H6)*(D6-E6/2)+F6*G6*F6/2-I6*'3- مسار الكابل'!C12)/J6</f>
        <v>1.017247211698759</v>
      </c>
      <c r="M6" s="275">
        <f>(E6^3*H6/12+E6*H6*(K6-E6/2)^2+F6^3*G6/12+(F6*G6)*(L6-F6/2)^2-I6*(L6-'3- مسار الكابل'!C12)^2-PI()/64*'3- مسار الكابل'!$E$34*(VLOOKUP('3- مسار الكابل'!$D$33+6800,'مواصفات المماسك'!$B$2:$I$18,3,FALSE)/1000)^2)</f>
        <v>0.2496864969313165</v>
      </c>
      <c r="N6" s="275">
        <f t="shared" si="1"/>
        <v>0.28284985359469694</v>
      </c>
      <c r="O6" s="275">
        <f t="shared" si="2"/>
        <v>0.24545311509318449</v>
      </c>
      <c r="P6" s="276">
        <f>L6-'3- مسار الكابل'!C12</f>
        <v>0.85880276725431459</v>
      </c>
    </row>
    <row r="7" spans="2:16" x14ac:dyDescent="0.25">
      <c r="B7" s="140">
        <f>'1- تحديد الأبعاد الأولية'!B22</f>
        <v>3</v>
      </c>
      <c r="C7" s="246">
        <f>'1- تحديد الأبعاد الأولية'!C22</f>
        <v>3</v>
      </c>
      <c r="D7" s="152">
        <f>'1- تحديد الأبعاد الأولية'!D22</f>
        <v>1.8499999999999999</v>
      </c>
      <c r="E7" s="274">
        <f>'1- تحديد الأبعاد الأولية'!E22</f>
        <v>0.25</v>
      </c>
      <c r="F7" s="152">
        <f>'1- تحديد الأبعاد الأولية'!F22</f>
        <v>1.5999999999999999</v>
      </c>
      <c r="G7" s="245">
        <f>'1- تحديد الأبعاد الأولية'!G22</f>
        <v>0.4</v>
      </c>
      <c r="H7" s="152">
        <f>'1- تحديد الأبعاد الأولية'!H22</f>
        <v>0.6</v>
      </c>
      <c r="I7" s="275">
        <f>(VLOOKUP('3- مسار الكابل'!$D$33+6800,'مواصفات المماسك'!$B$2:$I$18,3,FALSE))^2*PI()/4*'3- مسار الكابل'!$D$34/1000000</f>
        <v>1.5393804002589986E-2</v>
      </c>
      <c r="J7" s="152">
        <f>'1- تحديد الأبعاد الأولية'!I22 -I7</f>
        <v>0.7746061959974101</v>
      </c>
      <c r="K7" s="275">
        <f t="shared" si="0"/>
        <v>0.85833681541306606</v>
      </c>
      <c r="L7" s="275">
        <f>((E7*H7)*(D7-E7/2)+F7*G7*F7/2-I7*'3- مسار الكابل'!C13)/J7</f>
        <v>0.99166318458693381</v>
      </c>
      <c r="M7" s="275">
        <f>(E7^3*H7/12+E7*H7*(K7-E7/2)^2+F7^3*G7/12+(F7*G7)*(L7-F7/2)^2-I7*(L7-'3- مسار الكابل'!C13)^2-PI()/64*'3- مسار الكابل'!$E$34*(VLOOKUP('3- مسار الكابل'!$D$33+6800,'مواصفات المماسك'!$B$2:$I$18,3,FALSE)/1000)^2)</f>
        <v>0.23107413558715553</v>
      </c>
      <c r="N7" s="275">
        <f t="shared" si="1"/>
        <v>0.26921149301507402</v>
      </c>
      <c r="O7" s="275">
        <f t="shared" si="2"/>
        <v>0.23301675324712884</v>
      </c>
      <c r="P7" s="276">
        <f>L7-'3- مسار الكابل'!C13</f>
        <v>0.82266318458693388</v>
      </c>
    </row>
    <row r="8" spans="2:16" x14ac:dyDescent="0.25">
      <c r="B8" s="140">
        <f>'1- تحديد الأبعاد الأولية'!B23</f>
        <v>4</v>
      </c>
      <c r="C8" s="246">
        <f>'1- تحديد الأبعاد الأولية'!C23</f>
        <v>4</v>
      </c>
      <c r="D8" s="152">
        <f>'1- تحديد الأبعاد الأولية'!D23</f>
        <v>1.7999999999999998</v>
      </c>
      <c r="E8" s="274">
        <f>'1- تحديد الأبعاد الأولية'!E23</f>
        <v>0.25</v>
      </c>
      <c r="F8" s="152">
        <f>'1- تحديد الأبعاد الأولية'!F23</f>
        <v>1.5499999999999998</v>
      </c>
      <c r="G8" s="245">
        <f>'1- تحديد الأبعاد الأولية'!G23</f>
        <v>0.4</v>
      </c>
      <c r="H8" s="152">
        <f>'1- تحديد الأبعاد الأولية'!H23</f>
        <v>0.6</v>
      </c>
      <c r="I8" s="275">
        <f>(VLOOKUP('3- مسار الكابل'!$D$33+6800,'مواصفات المماسك'!$B$2:$I$18,3,FALSE))^2*PI()/4*'3- مسار الكابل'!$D$34/1000000</f>
        <v>1.5393804002589986E-2</v>
      </c>
      <c r="J8" s="152">
        <f>'1- تحديد الأبعاد الأولية'!I23 -I8</f>
        <v>0.75460619599741008</v>
      </c>
      <c r="K8" s="275">
        <f t="shared" si="0"/>
        <v>0.83403793293083539</v>
      </c>
      <c r="L8" s="275">
        <f>((E8*H8)*(D8-E8/2)+F8*G8*F8/2-I8*'3- مسار الكابل'!C14)/J8</f>
        <v>0.96596206706916443</v>
      </c>
      <c r="M8" s="275">
        <f>(E8^3*H8/12+E8*H8*(K8-E8/2)^2+F8^3*G8/12+(F8*G8)*(L8-F8/2)^2-I8*(L8-'3- مسار الكابل'!C14)^2-PI()/64*'3- مسار الكابل'!$E$34*(VLOOKUP('3- مسار الكابل'!$D$33+6800,'مواصفات المماسك'!$B$2:$I$18,3,FALSE)/1000)^2)</f>
        <v>0.21351175401968836</v>
      </c>
      <c r="N8" s="275">
        <f t="shared" si="1"/>
        <v>0.25599765381102196</v>
      </c>
      <c r="O8" s="275">
        <f t="shared" si="2"/>
        <v>0.22103534010140438</v>
      </c>
      <c r="P8" s="276">
        <f>L8-'3- مسار الكابل'!C14</f>
        <v>0.78218428929138661</v>
      </c>
    </row>
    <row r="9" spans="2:16" x14ac:dyDescent="0.25">
      <c r="B9" s="140">
        <f>'1- تحديد الأبعاد الأولية'!B24</f>
        <v>5</v>
      </c>
      <c r="C9" s="246">
        <f>'1- تحديد الأبعاد الأولية'!C24</f>
        <v>5</v>
      </c>
      <c r="D9" s="152">
        <f>'1- تحديد الأبعاد الأولية'!D24</f>
        <v>1.7499999999999998</v>
      </c>
      <c r="E9" s="274">
        <f>'1- تحديد الأبعاد الأولية'!E24</f>
        <v>0.25</v>
      </c>
      <c r="F9" s="152">
        <f>'1- تحديد الأبعاد الأولية'!F24</f>
        <v>1.4999999999999998</v>
      </c>
      <c r="G9" s="245">
        <f>'1- تحديد الأبعاد الأولية'!G24</f>
        <v>0.4</v>
      </c>
      <c r="H9" s="152">
        <f>'1- تحديد الأبعاد الأولية'!H24</f>
        <v>0.6</v>
      </c>
      <c r="I9" s="275">
        <f>(VLOOKUP('3- مسار الكابل'!$D$33+6800,'مواصفات المماسك'!$B$2:$I$18,3,FALSE))^2*PI()/4*'3- مسار الكابل'!$D$34/1000000</f>
        <v>1.5393804002589986E-2</v>
      </c>
      <c r="J9" s="152">
        <f>'1- تحديد الأبعاد الأولية'!I24 -I9</f>
        <v>0.73460619599741006</v>
      </c>
      <c r="K9" s="275">
        <f t="shared" si="0"/>
        <v>0.80986570437905347</v>
      </c>
      <c r="L9" s="275">
        <f>((E9*H9)*(D9-E9/2)+F9*G9*F9/2-I9*'3- مسار الكابل'!C15)/J9</f>
        <v>0.9401342956209463</v>
      </c>
      <c r="M9" s="275">
        <f>(E9^3*H9/12+E9*H9*(K9-E9/2)^2+F9^3*G9/12+(F9*G9)*(L9-F9/2)^2-I9*(L9-'3- مسار الكابل'!C15)^2-PI()/64*'3- مسار الكابل'!$E$34*(VLOOKUP('3- مسار الكابل'!$D$33+6800,'مواصفات المماسك'!$B$2:$I$18,3,FALSE)/1000)^2)</f>
        <v>0.19695850653865382</v>
      </c>
      <c r="N9" s="275">
        <f t="shared" si="1"/>
        <v>0.24319897172293198</v>
      </c>
      <c r="O9" s="275">
        <f t="shared" si="2"/>
        <v>0.20950039526913047</v>
      </c>
      <c r="P9" s="276">
        <f>L9-'3- مسار الكابل'!C15</f>
        <v>0.73735651784316858</v>
      </c>
    </row>
    <row r="10" spans="2:16" x14ac:dyDescent="0.25">
      <c r="B10" s="140">
        <f>'1- تحديد الأبعاد الأولية'!B25</f>
        <v>6</v>
      </c>
      <c r="C10" s="246">
        <f>'1- تحديد الأبعاد الأولية'!C25</f>
        <v>6</v>
      </c>
      <c r="D10" s="152">
        <f>'1- تحديد الأبعاد الأولية'!D25</f>
        <v>1.6999999999999997</v>
      </c>
      <c r="E10" s="274">
        <f>'1- تحديد الأبعاد الأولية'!E25</f>
        <v>0.25</v>
      </c>
      <c r="F10" s="152">
        <f>'1- تحديد الأبعاد الأولية'!F25</f>
        <v>1.4499999999999997</v>
      </c>
      <c r="G10" s="245">
        <f>'1- تحديد الأبعاد الأولية'!G25</f>
        <v>0.4</v>
      </c>
      <c r="H10" s="152">
        <f>'1- تحديد الأبعاد الأولية'!H25</f>
        <v>0.6</v>
      </c>
      <c r="I10" s="275">
        <f>(VLOOKUP('3- مسار الكابل'!$D$33+6800,'مواصفات المماسك'!$B$2:$I$18,3,FALSE))^2*PI()/4*'3- مسار الكابل'!$D$34/1000000</f>
        <v>1.5393804002589986E-2</v>
      </c>
      <c r="J10" s="152">
        <f>'1- تحديد الأبعاد الأولية'!I25 -I10</f>
        <v>0.71460619599741004</v>
      </c>
      <c r="K10" s="275">
        <f t="shared" si="0"/>
        <v>0.78583076391660289</v>
      </c>
      <c r="L10" s="275">
        <f>((E10*H10)*(D10-E10/2)+F10*G10*F10/2-I10*'3- مسار الكابل'!C16)/J10</f>
        <v>0.91416923608339684</v>
      </c>
      <c r="M10" s="275">
        <f>(E10^3*H10/12+E10*H10*(K10-E10/2)^2+F10^3*G10/12+(F10*G10)*(L10-F10/2)^2-I10*(L10-'3- مسار الكابل'!C16)^2-PI()/64*'3- مسار الكابل'!$E$34*(VLOOKUP('3- مسار الكابل'!$D$33+6800,'مواصفات المماسك'!$B$2:$I$18,3,FALSE)/1000)^2)</f>
        <v>0.18137182810460103</v>
      </c>
      <c r="N10" s="275">
        <f t="shared" si="1"/>
        <v>0.23080265679678749</v>
      </c>
      <c r="O10" s="275">
        <f t="shared" si="2"/>
        <v>0.19840071285012598</v>
      </c>
      <c r="P10" s="276">
        <f>L10-'3- مسار الكابل'!C16</f>
        <v>0.68816923608339686</v>
      </c>
    </row>
    <row r="11" spans="2:16" x14ac:dyDescent="0.25">
      <c r="B11" s="140">
        <f>'1- تحديد الأبعاد الأولية'!B26</f>
        <v>7</v>
      </c>
      <c r="C11" s="246">
        <f>'1- تحديد الأبعاد الأولية'!C26</f>
        <v>7</v>
      </c>
      <c r="D11" s="152">
        <f>'1- تحديد الأبعاد الأولية'!D26</f>
        <v>1.6499999999999997</v>
      </c>
      <c r="E11" s="274">
        <f>'1- تحديد الأبعاد الأولية'!E26</f>
        <v>0.25</v>
      </c>
      <c r="F11" s="152">
        <f>'1- تحديد الأبعاد الأولية'!F26</f>
        <v>1.3999999999999997</v>
      </c>
      <c r="G11" s="245">
        <f>'1- تحديد الأبعاد الأولية'!G26</f>
        <v>0.4</v>
      </c>
      <c r="H11" s="152">
        <f>'1- تحديد الأبعاد الأولية'!H26</f>
        <v>0.6</v>
      </c>
      <c r="I11" s="275">
        <f>(VLOOKUP('3- مسار الكابل'!$D$33+6800,'مواصفات المماسك'!$B$2:$I$18,3,FALSE))^2*PI()/4*'3- مسار الكابل'!$D$34/1000000</f>
        <v>1.5393804002589986E-2</v>
      </c>
      <c r="J11" s="152">
        <f>'1- تحديد الأبعاد الأولية'!I26 -I11</f>
        <v>0.69460619599741003</v>
      </c>
      <c r="K11" s="275">
        <f t="shared" si="0"/>
        <v>0.76194497047219401</v>
      </c>
      <c r="L11" s="275">
        <f>((E11*H11)*(D11-E11/2)+F11*G11*F11/2-I11*'3- مسار الكابل'!C17)/J11</f>
        <v>0.88805502952780568</v>
      </c>
      <c r="M11" s="275">
        <f>(E11^3*H11/12+E11*H11*(K11-E11/2)^2+F11^3*G11/12+(F11*G11)*(L11-F11/2)^2-I11*(L11-'3- مسار الكابل'!C17)^2-PI()/64*'3- مسار الكابل'!$E$34*(VLOOKUP('3- مسار الكابل'!$D$33+6800,'مواصفات المماسك'!$B$2:$I$18,3,FALSE)/1000)^2)</f>
        <v>0.16670742385067847</v>
      </c>
      <c r="N11" s="275">
        <f t="shared" si="1"/>
        <v>0.21879194733363252</v>
      </c>
      <c r="O11" s="275">
        <f t="shared" si="2"/>
        <v>0.18772195225257574</v>
      </c>
      <c r="P11" s="276">
        <f>L11-'3- مسار الكابل'!C17</f>
        <v>0.63461058508336132</v>
      </c>
    </row>
    <row r="12" spans="2:16" x14ac:dyDescent="0.25">
      <c r="B12" s="140">
        <f>'1- تحديد الأبعاد الأولية'!B27</f>
        <v>8</v>
      </c>
      <c r="C12" s="246">
        <f>'1- تحديد الأبعاد الأولية'!C27</f>
        <v>8</v>
      </c>
      <c r="D12" s="152">
        <f>'1- تحديد الأبعاد الأولية'!D27</f>
        <v>1.5999999999999996</v>
      </c>
      <c r="E12" s="274">
        <f>'1- تحديد الأبعاد الأولية'!E27</f>
        <v>0.25</v>
      </c>
      <c r="F12" s="152">
        <f>'1- تحديد الأبعاد الأولية'!F27</f>
        <v>1.3499999999999996</v>
      </c>
      <c r="G12" s="245">
        <f>'1- تحديد الأبعاد الأولية'!G27</f>
        <v>0.4</v>
      </c>
      <c r="H12" s="152">
        <f>'1- تحديد الأبعاد الأولية'!H27</f>
        <v>0.6</v>
      </c>
      <c r="I12" s="275">
        <f>(VLOOKUP('3- مسار الكابل'!$D$33+6800,'مواصفات المماسك'!$B$2:$I$18,3,FALSE))^2*PI()/4*'3- مسار الكابل'!$D$34/1000000</f>
        <v>1.5393804002589986E-2</v>
      </c>
      <c r="J12" s="152">
        <f>'1- تحديد الأبعاد الأولية'!I27 -I12</f>
        <v>0.67460619599741001</v>
      </c>
      <c r="K12" s="275">
        <f t="shared" si="0"/>
        <v>0.73822158929766646</v>
      </c>
      <c r="L12" s="275">
        <f>((E12*H12)*(D12-E12/2)+F12*G12*F12/2-I12*'3- مسار الكابل'!C18)/J12</f>
        <v>0.86177841070233319</v>
      </c>
      <c r="M12" s="275">
        <f>(E12^3*H12/12+E12*H12*(K12-E12/2)^2+F12^3*G12/12+(F12*G12)*(L12-F12/2)^2-I12*(L12-'3- مسار الكابل'!C18)^2-PI()/64*'3- مسار الكابل'!$E$34*(VLOOKUP('3- مسار الكابل'!$D$33+6800,'مواصفات المماسك'!$B$2:$I$18,3,FALSE)/1000)^2)</f>
        <v>0.15291925674054246</v>
      </c>
      <c r="N12" s="275">
        <f t="shared" si="1"/>
        <v>0.20714546818662899</v>
      </c>
      <c r="O12" s="275">
        <f t="shared" si="2"/>
        <v>0.17744614490390417</v>
      </c>
      <c r="P12" s="276">
        <f>L12-'3- مسار الكابل'!C18</f>
        <v>0.5766672995912222</v>
      </c>
    </row>
    <row r="13" spans="2:16" x14ac:dyDescent="0.25">
      <c r="B13" s="140">
        <f>'1- تحديد الأبعاد الأولية'!B28</f>
        <v>9</v>
      </c>
      <c r="C13" s="246">
        <f>'1- تحديد الأبعاد الأولية'!C28</f>
        <v>9</v>
      </c>
      <c r="D13" s="152">
        <f>'1- تحديد الأبعاد الأولية'!D28</f>
        <v>1.5499999999999996</v>
      </c>
      <c r="E13" s="274">
        <f>'1- تحديد الأبعاد الأولية'!E28</f>
        <v>0.25</v>
      </c>
      <c r="F13" s="152">
        <f>'1- تحديد الأبعاد الأولية'!F28</f>
        <v>1.2999999999999996</v>
      </c>
      <c r="G13" s="245">
        <f>'1- تحديد الأبعاد الأولية'!G28</f>
        <v>0.4</v>
      </c>
      <c r="H13" s="152">
        <f>'1- تحديد الأبعاد الأولية'!H28</f>
        <v>0.6</v>
      </c>
      <c r="I13" s="275">
        <f>(VLOOKUP('3- مسار الكابل'!$D$33+6800,'مواصفات المماسك'!$B$2:$I$18,3,FALSE))^2*PI()/4*'3- مسار الكابل'!$D$34/1000000</f>
        <v>1.5393804002589986E-2</v>
      </c>
      <c r="J13" s="152">
        <f>'1- تحديد الأبعاد الأولية'!I28 -I13</f>
        <v>0.65460619599740999</v>
      </c>
      <c r="K13" s="275">
        <f t="shared" si="0"/>
        <v>0.71467550680297542</v>
      </c>
      <c r="L13" s="275">
        <f>((E13*H13)*(D13-E13/2)+F13*G13*F13/2-I13*'3- مسار الكابل'!C19)/J13</f>
        <v>0.83532449319702418</v>
      </c>
      <c r="M13" s="275">
        <f>(E13^3*H13/12+E13*H13*(K13-E13/2)^2+F13^3*G13/12+(F13*G13)*(L13-F13/2)^2-I13*(L13-'3- مسار الكابل'!C19)^2-PI()/64*'3- مسار الكابل'!$E$34*(VLOOKUP('3- مسار الكابل'!$D$33+6800,'مواصفات المماسك'!$B$2:$I$18,3,FALSE)/1000)^2)</f>
        <v>0.13995953296375901</v>
      </c>
      <c r="N13" s="275">
        <f t="shared" si="1"/>
        <v>0.19583647631895634</v>
      </c>
      <c r="O13" s="275">
        <f t="shared" si="2"/>
        <v>0.16755109433951124</v>
      </c>
      <c r="P13" s="276">
        <f>L13-'3- مسار الكابل'!C19</f>
        <v>0.51432449319702433</v>
      </c>
    </row>
    <row r="14" spans="2:16" x14ac:dyDescent="0.25">
      <c r="B14" s="140">
        <f>'1- تحديد الأبعاد الأولية'!B29</f>
        <v>10</v>
      </c>
      <c r="C14" s="246">
        <f>'1- تحديد الأبعاد الأولية'!C29</f>
        <v>10</v>
      </c>
      <c r="D14" s="152">
        <f>'1- تحديد الأبعاد الأولية'!D29</f>
        <v>1.4999999999999996</v>
      </c>
      <c r="E14" s="274">
        <f>'1- تحديد الأبعاد الأولية'!E29</f>
        <v>0.25</v>
      </c>
      <c r="F14" s="152">
        <f>'1- تحديد الأبعاد الأولية'!F29</f>
        <v>1.2499999999999996</v>
      </c>
      <c r="G14" s="245">
        <f>'1- تحديد الأبعاد الأولية'!G29</f>
        <v>0.4</v>
      </c>
      <c r="H14" s="152">
        <f>'1- تحديد الأبعاد الأولية'!H29</f>
        <v>0.6</v>
      </c>
      <c r="I14" s="275">
        <f>(VLOOKUP('3- مسار الكابل'!$D$33+6800,'مواصفات المماسك'!$B$2:$I$18,3,FALSE))^2*PI()/4*'3- مسار الكابل'!$D$34/1000000</f>
        <v>1.5393804002589986E-2</v>
      </c>
      <c r="J14" s="152">
        <f>'1- تحديد الأبعاد الأولية'!I29 -I14</f>
        <v>0.63460619599740986</v>
      </c>
      <c r="K14" s="275">
        <f t="shared" si="0"/>
        <v>0.69132348601510862</v>
      </c>
      <c r="L14" s="275">
        <f>((E14*H14)*(D14-E14/2)+F14*G14*F14/2-I14*'3- مسار الكابل'!C20)/J14</f>
        <v>0.80867651398489093</v>
      </c>
      <c r="M14" s="275">
        <f>(E14^3*H14/12+E14*H14*(K14-E14/2)^2+F14^3*G14/12+(F14*G14)*(L14-F14/2)^2-I14*(L14-'3- مسار الكابل'!C20)^2-PI()/64*'3- مسار الكابل'!$E$34*(VLOOKUP('3- مسار الكابل'!$D$33+6800,'مواصفات المماسك'!$B$2:$I$18,3,FALSE)/1000)^2)</f>
        <v>0.12777868456956901</v>
      </c>
      <c r="N14" s="275">
        <f t="shared" si="1"/>
        <v>0.18483197396649192</v>
      </c>
      <c r="O14" s="275">
        <f t="shared" si="2"/>
        <v>0.15800963965172901</v>
      </c>
      <c r="P14" s="276">
        <f>L14-'3- مسار الكابل'!C20</f>
        <v>0.44756540287377999</v>
      </c>
    </row>
    <row r="15" spans="2:16" x14ac:dyDescent="0.25">
      <c r="B15" s="140">
        <f>'1- تحديد الأبعاد الأولية'!B30</f>
        <v>11</v>
      </c>
      <c r="C15" s="246">
        <f>'1- تحديد الأبعاد الأولية'!C30</f>
        <v>11</v>
      </c>
      <c r="D15" s="152">
        <f>'1- تحديد الأبعاد الأولية'!D30</f>
        <v>1.4499999999999995</v>
      </c>
      <c r="E15" s="274">
        <f>'1- تحديد الأبعاد الأولية'!E30</f>
        <v>0.25</v>
      </c>
      <c r="F15" s="152">
        <f>'1- تحديد الأبعاد الأولية'!F30</f>
        <v>1.1999999999999995</v>
      </c>
      <c r="G15" s="245">
        <f>'1- تحديد الأبعاد الأولية'!G30</f>
        <v>0.4</v>
      </c>
      <c r="H15" s="152">
        <f>'1- تحديد الأبعاد الأولية'!H30</f>
        <v>0.6</v>
      </c>
      <c r="I15" s="275">
        <f>(VLOOKUP('3- مسار الكابل'!$D$33+6800,'مواصفات المماسك'!$B$2:$I$18,3,FALSE))^2*PI()/4*'3- مسار الكابل'!$D$34/1000000</f>
        <v>1.5393804002589986E-2</v>
      </c>
      <c r="J15" s="152">
        <f>'1- تحديد الأبعاد الأولية'!I30 -I15</f>
        <v>0.61460619599740984</v>
      </c>
      <c r="K15" s="275">
        <f t="shared" si="0"/>
        <v>0.66818447191458474</v>
      </c>
      <c r="L15" s="275">
        <f>((E15*H15)*(D15-E15/2)+F15*G15*F15/2-I15*'3- مسار الكابل'!C21)/J15</f>
        <v>0.78181552808541477</v>
      </c>
      <c r="M15" s="275">
        <f>(E15^3*H15/12+E15*H15*(K15-E15/2)^2+F15^3*G15/12+(F15*G15)*(L15-F15/2)^2-I15*(L15-'3- مسار الكابل'!C21)^2-PI()/64*'3- مسار الكابل'!$E$34*(VLOOKUP('3- مسار الكابل'!$D$33+6800,'مواصفات المماسك'!$B$2:$I$18,3,FALSE)/1000)^2)</f>
        <v>0.11632534870994835</v>
      </c>
      <c r="N15" s="275">
        <f t="shared" si="1"/>
        <v>0.17409166719578964</v>
      </c>
      <c r="O15" s="275">
        <f t="shared" si="2"/>
        <v>0.14878874175704476</v>
      </c>
      <c r="P15" s="276">
        <f>L15-'3- مسار الكابل'!C21</f>
        <v>0.37637108364097049</v>
      </c>
    </row>
    <row r="16" spans="2:16" x14ac:dyDescent="0.25">
      <c r="B16" s="140">
        <f>'1- تحديد الأبعاد الأولية'!B31</f>
        <v>12</v>
      </c>
      <c r="C16" s="246">
        <f>'1- تحديد الأبعاد الأولية'!C31</f>
        <v>12</v>
      </c>
      <c r="D16" s="152">
        <f>'1- تحديد الأبعاد الأولية'!D31</f>
        <v>1.3999999999999995</v>
      </c>
      <c r="E16" s="274">
        <f>'1- تحديد الأبعاد الأولية'!E31</f>
        <v>0.25</v>
      </c>
      <c r="F16" s="152">
        <f>'1- تحديد الأبعاد الأولية'!F31</f>
        <v>1.1499999999999995</v>
      </c>
      <c r="G16" s="144">
        <f>'1- تحديد الأبعاد الأولية'!G31</f>
        <v>0.44285714285714295</v>
      </c>
      <c r="H16" s="152">
        <f>'1- تحديد الأبعاد الأولية'!H31</f>
        <v>0.6</v>
      </c>
      <c r="I16" s="275">
        <f>(VLOOKUP('3- مسار الكابل'!$D$33+6800,'مواصفات المماسك'!$B$2:$I$18,3,FALSE))^2*PI()/4*'3- مسار الكابل'!$D$34/1000000</f>
        <v>1.5393804002589986E-2</v>
      </c>
      <c r="J16" s="152">
        <f>'1- تحديد الأبعاد الأولية'!I31 -I16</f>
        <v>0.6438919102831242</v>
      </c>
      <c r="K16" s="275">
        <f t="shared" si="0"/>
        <v>0.65903635209933742</v>
      </c>
      <c r="L16" s="275">
        <f>((E16*H16)*(D16-E16/2)+F16*G16*F16/2-I16*'3- مسار الكابل'!C22)/J16</f>
        <v>0.74096364790066205</v>
      </c>
      <c r="M16" s="275">
        <f>(E16^3*H16/12+E16*H16*(K16-E16/2)^2+F16^3*G16/12+(F16*G16)*(L16-F16/2)^2-I16*(L16-'3- مسار الكابل'!C22)^2-PI()/64*'3- مسار الكابل'!$E$34*(VLOOKUP('3- مسار الكابل'!$D$33+6800,'مواصفات المماسك'!$B$2:$I$18,3,FALSE)/1000)^2)</f>
        <v>0.1124480838119853</v>
      </c>
      <c r="N16" s="275">
        <f t="shared" si="1"/>
        <v>0.17062500946083753</v>
      </c>
      <c r="O16" s="275">
        <f t="shared" si="2"/>
        <v>0.15175924504606839</v>
      </c>
      <c r="P16" s="276">
        <f>L16-'3- مسار الكابل'!C22</f>
        <v>0.28696364790066231</v>
      </c>
    </row>
    <row r="17" spans="1:20" x14ac:dyDescent="0.25">
      <c r="B17" s="140">
        <f>'1- تحديد الأبعاد الأولية'!B32</f>
        <v>13</v>
      </c>
      <c r="C17" s="246">
        <f>'1- تحديد الأبعاد الأولية'!C32</f>
        <v>13</v>
      </c>
      <c r="D17" s="152">
        <f>'1- تحديد الأبعاد الأولية'!D32</f>
        <v>1.3499999999999994</v>
      </c>
      <c r="E17" s="274">
        <f>'1- تحديد الأبعاد الأولية'!E32</f>
        <v>0.25</v>
      </c>
      <c r="F17" s="152">
        <f>'1- تحديد الأبعاد الأولية'!F32</f>
        <v>1.0999999999999994</v>
      </c>
      <c r="G17" s="144">
        <f>'1- تحديد الأبعاد الأولية'!G32</f>
        <v>0.51428571428571435</v>
      </c>
      <c r="H17" s="152">
        <f>'1- تحديد الأبعاد الأولية'!H32</f>
        <v>0.6</v>
      </c>
      <c r="I17" s="275">
        <f>(VLOOKUP('3- مسار الكابل'!$D$33+6800,'مواصفات المماسك'!$B$2:$I$18,3,FALSE))^2*PI()/4*'3- مسار الكابل'!$D$34/1000000</f>
        <v>1.5393804002589986E-2</v>
      </c>
      <c r="J17" s="152">
        <f>'1- تحديد الأبعاد الأولية'!I32 -I17</f>
        <v>0.70032048171169559</v>
      </c>
      <c r="K17" s="275">
        <f t="shared" si="0"/>
        <v>0.65447326320037369</v>
      </c>
      <c r="L17" s="275">
        <f>((E17*H17)*(D17-E17/2)+F17*G17*F17/2-I17*'3- مسار الكابل'!C23)/J17</f>
        <v>0.69552673679962573</v>
      </c>
      <c r="M17" s="275">
        <f>(E17^3*H17/12+E17*H17*(K17-E17/2)^2+F17^3*G17/12+(F17*G17)*(L17-F17/2)^2-I17*(L17-'3- مسار الكابل'!C23)^2-PI()/64*'3- مسار الكابل'!$E$34*(VLOOKUP('3- مسار الكابل'!$D$33+6800,'مواصفات المماسك'!$B$2:$I$18,3,FALSE)/1000)^2)</f>
        <v>0.11130769008822147</v>
      </c>
      <c r="N17" s="275">
        <f t="shared" si="1"/>
        <v>0.17007217306926636</v>
      </c>
      <c r="O17" s="275">
        <f t="shared" si="2"/>
        <v>0.1600336611075357</v>
      </c>
      <c r="P17" s="276">
        <f>L17-'3- مسار الكابل'!C23</f>
        <v>0.18874895902184818</v>
      </c>
    </row>
    <row r="18" spans="1:20" x14ac:dyDescent="0.25">
      <c r="B18" s="140">
        <f>'1- تحديد الأبعاد الأولية'!B33</f>
        <v>14</v>
      </c>
      <c r="C18" s="246">
        <f>'1- تحديد الأبعاد الأولية'!C33</f>
        <v>14</v>
      </c>
      <c r="D18" s="152">
        <f>'1- تحديد الأبعاد الأولية'!D33</f>
        <v>1.2999999999999994</v>
      </c>
      <c r="E18" s="274">
        <f>'1- تحديد الأبعاد الأولية'!E33</f>
        <v>0.25</v>
      </c>
      <c r="F18" s="152">
        <f>'1- تحديد الأبعاد الأولية'!F33</f>
        <v>1.0499999999999994</v>
      </c>
      <c r="G18" s="144">
        <f>'1- تحديد الأبعاد الأولية'!G33</f>
        <v>0.58571428571428585</v>
      </c>
      <c r="H18" s="152">
        <f>'1- تحديد الأبعاد الأولية'!H33</f>
        <v>0.6</v>
      </c>
      <c r="I18" s="275">
        <f>(VLOOKUP('3- مسار الكابل'!$D$33+6800,'مواصفات المماسك'!$B$2:$I$18,3,FALSE))^2*PI()/4*'3- مسار الكابل'!$D$34/1000000</f>
        <v>1.5393804002589986E-2</v>
      </c>
      <c r="J18" s="152">
        <f>'1- تحديد الأبعاد الأولية'!I33 -I18</f>
        <v>0.74960619599740985</v>
      </c>
      <c r="K18" s="275">
        <f t="shared" si="0"/>
        <v>0.64572803959378178</v>
      </c>
      <c r="L18" s="275">
        <f>((E18*H18)*(D18-E18/2)+F18*G18*F18/2-I18*'3- مسار الكابل'!C24)/J18</f>
        <v>0.6542719604062176</v>
      </c>
      <c r="M18" s="275">
        <f>(E18^3*H18/12+E18*H18*(K18-E18/2)^2+F18^3*G18/12+(F18*G18)*(L18-F18/2)^2-I18*(L18-'3- مسار الكابل'!C24)^2-PI()/64*'3- مسار الكابل'!$E$34*(VLOOKUP('3- مسار الكابل'!$D$33+6800,'مواصفات المماسك'!$B$2:$I$18,3,FALSE)/1000)^2)</f>
        <v>0.10810937823251072</v>
      </c>
      <c r="N18" s="275">
        <f t="shared" si="1"/>
        <v>0.16742246209491038</v>
      </c>
      <c r="O18" s="275">
        <f t="shared" si="2"/>
        <v>0.16523614761878055</v>
      </c>
      <c r="P18" s="276">
        <f>L18-'3- مسار الكابل'!C24</f>
        <v>9.0494182628440112E-2</v>
      </c>
    </row>
    <row r="19" spans="1:20" x14ac:dyDescent="0.25">
      <c r="B19" s="140">
        <f>'1- تحديد الأبعاد الأولية'!B34</f>
        <v>15</v>
      </c>
      <c r="C19" s="246">
        <f>'1- تحديد الأبعاد الأولية'!C34</f>
        <v>15</v>
      </c>
      <c r="D19" s="152">
        <f>'1- تحديد الأبعاد الأولية'!D34</f>
        <v>1.2499999999999993</v>
      </c>
      <c r="E19" s="274">
        <f>'1- تحديد الأبعاد الأولية'!E34</f>
        <v>0.25</v>
      </c>
      <c r="F19" s="152">
        <f>'1- تحديد الأبعاد الأولية'!F34</f>
        <v>0.99999999999999933</v>
      </c>
      <c r="G19" s="245">
        <f>'1- تحديد الأبعاد الأولية'!G34</f>
        <v>0.6</v>
      </c>
      <c r="H19" s="152">
        <f>'1- تحديد الأبعاد الأولية'!H34</f>
        <v>0.6</v>
      </c>
      <c r="I19" s="275">
        <f>(VLOOKUP('3- مسار الكابل'!$D$33+6800,'مواصفات المماسك'!$B$2:$I$18,3,FALSE))^2*PI()/4*'3- مسار الكابل'!$D$34/1000000</f>
        <v>1.5393804002589986E-2</v>
      </c>
      <c r="J19" s="152">
        <f>'1- تحديد الأبعاد الأولية'!I34 -I19</f>
        <v>0.73460619599740962</v>
      </c>
      <c r="K19" s="275">
        <f t="shared" si="0"/>
        <v>0.62499999999999978</v>
      </c>
      <c r="L19" s="275">
        <f>((E19*H19)*(D19-E19/2)+F19*G19*F19/2-I19*'3- مسار الكابل'!C25)/J19</f>
        <v>0.62499999999999956</v>
      </c>
      <c r="M19" s="275">
        <f>(E19^3*H19/12+E19*H19*(K19-E19/2)^2+F19^3*G19/12+(F19*G19)*(L19-F19/2)^2-I19*(L19-'3- مسار الكابل'!C25)^2-PI()/64*'3- مسار الكابل'!$E$34*(VLOOKUP('3- مسار الكابل'!$D$33+6800,'مواصفات المماسك'!$B$2:$I$18,3,FALSE)/1000)^2)</f>
        <v>9.7656249999999847E-2</v>
      </c>
      <c r="N19" s="275">
        <f t="shared" si="1"/>
        <v>0.15624999999999981</v>
      </c>
      <c r="O19" s="275">
        <f t="shared" si="2"/>
        <v>0.15624999999999986</v>
      </c>
      <c r="P19" s="276">
        <f>L19-'3- مسار الكابل'!C25</f>
        <v>0</v>
      </c>
    </row>
    <row r="20" spans="1:20" ht="61.5" thickBot="1" x14ac:dyDescent="0.3">
      <c r="B20" s="141" t="str">
        <f>'1- تحديد الأبعاد الأولية'!B35</f>
        <v>بداية الجزء المتغيرالعطالة11`</v>
      </c>
      <c r="C20" s="277">
        <f>'1- تحديد الأبعاد الأولية'!C35</f>
        <v>11.399999999999999</v>
      </c>
      <c r="D20" s="155">
        <f>'1- تحديد الأبعاد الأولية'!D35</f>
        <v>1.4299999999999995</v>
      </c>
      <c r="E20" s="278">
        <f>'1- تحديد الأبعاد الأولية'!E35</f>
        <v>0.25</v>
      </c>
      <c r="F20" s="155">
        <f>'1- تحديد الأبعاد الأولية'!F35</f>
        <v>1.1799999999999995</v>
      </c>
      <c r="G20" s="151">
        <f>'1- تحديد الأبعاد الأولية'!G35</f>
        <v>0.4</v>
      </c>
      <c r="H20" s="155">
        <f>'1- تحديد الأبعاد الأولية'!H35</f>
        <v>0.6</v>
      </c>
      <c r="I20" s="279">
        <f>(VLOOKUP('3- مسار الكابل'!$D$33+6800,'مواصفات المماسك'!$B$2:$I$18,3,FALSE))^2*PI()/4*'3- مسار الكابل'!$D$34/1000000</f>
        <v>1.5393804002589986E-2</v>
      </c>
      <c r="J20" s="155">
        <f>'1- تحديد الأبعاد الأولية'!I35 -I20</f>
        <v>0.60660619599740984</v>
      </c>
      <c r="K20" s="279">
        <f t="shared" si="0"/>
        <v>0.64822427279983641</v>
      </c>
      <c r="L20" s="279">
        <f>((E20*H20)*(D20-E20/2)+F20*G20*F20/2-I20*'3- مسار الكابل'!C26)/J20</f>
        <v>0.78177572720016308</v>
      </c>
      <c r="M20" s="279">
        <f>(E20^3*H20/12+E20*H20*(K20-E20/2)^2+F20^3*G20/12+(F20*G20)*(L20-F20/2)^2-I20*(L20-'3- مسار الكابل'!C26)^2-PI()/64*'3- مسار الكابل'!$E$34*(VLOOKUP('3- مسار الكابل'!$D$33+6800,'مواصفات المماسك'!$B$2:$I$18,3,FALSE)/1000)^2)</f>
        <v>0.10456443022319976</v>
      </c>
      <c r="N20" s="279">
        <f t="shared" si="1"/>
        <v>0.16130903239948247</v>
      </c>
      <c r="O20" s="279">
        <f t="shared" si="2"/>
        <v>0.13375246453056922</v>
      </c>
      <c r="P20" s="280">
        <f>L20-'3- مسار الكابل'!C26</f>
        <v>0.78177572720016308</v>
      </c>
    </row>
    <row r="21" spans="1:20" ht="21" thickBot="1" x14ac:dyDescent="0.3"/>
    <row r="22" spans="1:20" ht="25.5" customHeight="1" thickBot="1" x14ac:dyDescent="0.3">
      <c r="B22" s="484" t="s">
        <v>381</v>
      </c>
      <c r="C22" s="485"/>
      <c r="D22" s="485"/>
      <c r="E22" s="485"/>
      <c r="F22" s="485"/>
      <c r="G22" s="485"/>
      <c r="H22" s="485"/>
      <c r="I22" s="485"/>
      <c r="J22" s="485"/>
      <c r="K22" s="485"/>
      <c r="L22" s="485"/>
      <c r="M22" s="485"/>
      <c r="N22" s="485"/>
      <c r="O22" s="485"/>
      <c r="P22" s="485"/>
      <c r="Q22" s="486"/>
      <c r="R22" s="272"/>
      <c r="S22" s="272"/>
      <c r="T22" s="272"/>
    </row>
    <row r="23" spans="1:20" ht="28.5" customHeight="1" thickBot="1" x14ac:dyDescent="0.3">
      <c r="B23" s="282" t="str">
        <f>B3</f>
        <v>المقطع</v>
      </c>
      <c r="C23" s="282" t="str">
        <f t="shared" ref="C23:E23" si="3">C3</f>
        <v>x (m)</v>
      </c>
      <c r="D23" s="282" t="str">
        <f t="shared" si="3"/>
        <v>h (m)</v>
      </c>
      <c r="E23" s="282" t="str">
        <f t="shared" si="3"/>
        <v>tf (m)</v>
      </c>
      <c r="F23" s="282" t="str">
        <f>F3</f>
        <v>h-tf (m)</v>
      </c>
      <c r="G23" s="282" t="str">
        <f>G3</f>
        <v>bw (m)</v>
      </c>
      <c r="H23" s="282" t="str">
        <f>H3</f>
        <v>bf (m)</v>
      </c>
      <c r="I23" s="282" t="s">
        <v>382</v>
      </c>
      <c r="J23" s="282" t="s">
        <v>225</v>
      </c>
      <c r="K23" s="282" t="s">
        <v>383</v>
      </c>
      <c r="L23" s="282" t="s">
        <v>384</v>
      </c>
      <c r="M23" s="282" t="s">
        <v>385</v>
      </c>
      <c r="N23" s="282" t="s">
        <v>386</v>
      </c>
      <c r="O23" s="282" t="s">
        <v>387</v>
      </c>
      <c r="P23" s="282" t="s">
        <v>388</v>
      </c>
      <c r="Q23" s="266" t="s">
        <v>172</v>
      </c>
      <c r="R23" s="272"/>
      <c r="S23" s="272"/>
      <c r="T23" s="272"/>
    </row>
    <row r="24" spans="1:20" ht="21" x14ac:dyDescent="0.25">
      <c r="A24" s="248">
        <f>'7-الحمولات الجديدة'!I9</f>
        <v>24009.308643981887</v>
      </c>
      <c r="B24" s="284">
        <f t="shared" ref="B24:H39" si="4">B4</f>
        <v>0</v>
      </c>
      <c r="C24" s="291">
        <f t="shared" si="4"/>
        <v>0</v>
      </c>
      <c r="D24" s="291">
        <f t="shared" si="4"/>
        <v>2</v>
      </c>
      <c r="E24" s="291">
        <f t="shared" si="4"/>
        <v>0.25</v>
      </c>
      <c r="F24" s="291">
        <f t="shared" si="4"/>
        <v>1.75</v>
      </c>
      <c r="G24" s="291">
        <f t="shared" si="4"/>
        <v>0.4</v>
      </c>
      <c r="H24" s="291">
        <f t="shared" si="4"/>
        <v>0.6</v>
      </c>
      <c r="I24" s="291">
        <f>'4 - حساب قوة سبق الاجهاد'!$C$34/1000^2</f>
        <v>3.3600000000000001E-3</v>
      </c>
      <c r="J24" s="291">
        <f>'0- المعطيات'!$I$32/'0- المعطيات'!$I$31</f>
        <v>6.25</v>
      </c>
      <c r="K24" s="292">
        <f>I24*(J24-1)+'1- تحديد الأبعاد الأولية'!I19</f>
        <v>0.86764000000000008</v>
      </c>
      <c r="L24" s="289">
        <f>D24-M24</f>
        <v>0.96685722188926282</v>
      </c>
      <c r="M24" s="289">
        <f>(E24*H24*(D24-E24/2)+F24*G24*F24/2-I24*'3- مسار الكابل'!C10+J24*I24*'3- مسار الكابل'!C10)/K24</f>
        <v>1.0331427781107372</v>
      </c>
      <c r="N24" s="289">
        <f>E24^3*H24/12+E24*H24*(L24-E24/2)^2+F24*G24*(M24-F24/2)^2+F24^3*G24/12+(J24-1)*I24*(M24-'3- مسار الكابل'!C10)^2</f>
        <v>0.31700017960598098</v>
      </c>
      <c r="O24" s="289">
        <f>N24/L24</f>
        <v>0.32786658922250672</v>
      </c>
      <c r="P24" s="289">
        <f>N24/M24</f>
        <v>0.30683094952825907</v>
      </c>
      <c r="Q24" s="290">
        <f>M24-'3- مسار الكابل'!C10</f>
        <v>0.88314277811073716</v>
      </c>
      <c r="R24" s="281">
        <f>'3- مسار الكابل'!C10</f>
        <v>0.15</v>
      </c>
      <c r="S24" s="281">
        <f>'7-الحمولات الجديدة'!D9</f>
        <v>2098.6993125000004</v>
      </c>
      <c r="T24" s="281">
        <f>'7-الحمولات الجديدة'!G9</f>
        <v>4573.6993125000008</v>
      </c>
    </row>
    <row r="25" spans="1:20" ht="21" x14ac:dyDescent="0.25">
      <c r="A25" s="248">
        <f>'7-الحمولات الجديدة'!I10</f>
        <v>25097.133852532406</v>
      </c>
      <c r="B25" s="140">
        <f t="shared" si="4"/>
        <v>1</v>
      </c>
      <c r="C25" s="293">
        <f t="shared" si="4"/>
        <v>1</v>
      </c>
      <c r="D25" s="293">
        <f t="shared" si="4"/>
        <v>1.95</v>
      </c>
      <c r="E25" s="293">
        <f t="shared" si="4"/>
        <v>0.25</v>
      </c>
      <c r="F25" s="293">
        <f t="shared" si="4"/>
        <v>1.7</v>
      </c>
      <c r="G25" s="293">
        <f t="shared" si="4"/>
        <v>0.4</v>
      </c>
      <c r="H25" s="293">
        <f t="shared" si="4"/>
        <v>0.6</v>
      </c>
      <c r="I25" s="293">
        <f>'4 - حساب قوة سبق الاجهاد'!$C$34/1000^2</f>
        <v>3.3600000000000001E-3</v>
      </c>
      <c r="J25" s="293">
        <f>'0- المعطيات'!$I$32/'0- المعطيات'!$I$31</f>
        <v>6.25</v>
      </c>
      <c r="K25" s="348">
        <f>I25*(J25-1)+'1- تحديد الأبعاد الأولية'!I20</f>
        <v>0.84764000000000006</v>
      </c>
      <c r="L25" s="275">
        <f t="shared" ref="L25:L40" si="5">D25-M25</f>
        <v>0.94198570147704208</v>
      </c>
      <c r="M25" s="275">
        <f>(E25*H25*(D25-E25/2)+F25*G25*F25/2-I25*'3- مسار الكابل'!C11+J25*I25*'3- مسار الكابل'!C11)/K25</f>
        <v>1.0080142985229579</v>
      </c>
      <c r="N25" s="275">
        <f>E25^3*H25/12+E25*H25*(L25-E25/2)^2+F25*G25*(M25-F25/2)^2+F25^3*G25/12+(J25-1)*I25*(M25-'3- مسار الكابل'!C11)^2</f>
        <v>0.29456889423114635</v>
      </c>
      <c r="O25" s="275">
        <f t="shared" ref="O25:O40" si="6">N25/L25</f>
        <v>0.31271057911947037</v>
      </c>
      <c r="P25" s="275">
        <f t="shared" ref="P25:P40" si="7">N25/M25</f>
        <v>0.29222690061319345</v>
      </c>
      <c r="Q25" s="276">
        <f>M25-'3- مسار الكابل'!C11</f>
        <v>0.85590318741184679</v>
      </c>
      <c r="R25" s="281">
        <f>'3- مسار الكابل'!C11</f>
        <v>0.15211111111111111</v>
      </c>
      <c r="S25" s="281">
        <f>'7-الحمولات الجديدة'!D10</f>
        <v>2089.37176</v>
      </c>
      <c r="T25" s="281">
        <f>'7-الحمولات الجديدة'!G10</f>
        <v>4553.37176</v>
      </c>
    </row>
    <row r="26" spans="1:20" ht="21" x14ac:dyDescent="0.25">
      <c r="A26" s="248">
        <f>'7-الحمولات الجديدة'!I11</f>
        <v>26046.06594185808</v>
      </c>
      <c r="B26" s="140">
        <f t="shared" si="4"/>
        <v>2</v>
      </c>
      <c r="C26" s="293">
        <f t="shared" si="4"/>
        <v>2</v>
      </c>
      <c r="D26" s="293">
        <f t="shared" si="4"/>
        <v>1.9</v>
      </c>
      <c r="E26" s="293">
        <f t="shared" si="4"/>
        <v>0.25</v>
      </c>
      <c r="F26" s="293">
        <f t="shared" si="4"/>
        <v>1.65</v>
      </c>
      <c r="G26" s="293">
        <f t="shared" si="4"/>
        <v>0.4</v>
      </c>
      <c r="H26" s="293">
        <f t="shared" si="4"/>
        <v>0.6</v>
      </c>
      <c r="I26" s="293">
        <f>'4 - حساب قوة سبق الاجهاد'!$C$34/1000^2</f>
        <v>3.3600000000000001E-3</v>
      </c>
      <c r="J26" s="293">
        <f>'0- المعطيات'!$I$32/'0- المعطيات'!$I$31</f>
        <v>6.25</v>
      </c>
      <c r="K26" s="294">
        <f>I26*(J26-1)+'1- تحديد الأبعاد الأولية'!I21</f>
        <v>0.82764000000000004</v>
      </c>
      <c r="L26" s="275">
        <f t="shared" si="5"/>
        <v>0.91703039969068678</v>
      </c>
      <c r="M26" s="275">
        <f>(E26*H26*(D26-E26/2)+F26*G26*F26/2-I26*'3- مسار الكابل'!C12+J26*I26*'3- مسار الكابل'!C12)/K26</f>
        <v>0.98296960030931313</v>
      </c>
      <c r="N26" s="275">
        <f>E26^3*H26/12+E26*H26*(L26-E26/2)^2+F26*G26*(M26-F26/2)^2+F26^3*G26/12+(J26-1)*I26*(M26-'3- مسار الكابل'!C12)^2</f>
        <v>0.27307788171958819</v>
      </c>
      <c r="O26" s="275">
        <f t="shared" si="6"/>
        <v>0.2977849827134379</v>
      </c>
      <c r="P26" s="275">
        <f t="shared" si="7"/>
        <v>0.2778090814137672</v>
      </c>
      <c r="Q26" s="276">
        <f>M26-'3- مسار الكابل'!C12</f>
        <v>0.82452515586486874</v>
      </c>
      <c r="R26" s="281">
        <f>'3- مسار الكابل'!C12</f>
        <v>0.15844444444444444</v>
      </c>
      <c r="S26" s="281">
        <f>'7-الحمولات الجديدة'!D11</f>
        <v>2061.3891025000003</v>
      </c>
      <c r="T26" s="281">
        <f>'7-الحمولات الجديدة'!G11</f>
        <v>4492.3891025000003</v>
      </c>
    </row>
    <row r="27" spans="1:20" ht="21" x14ac:dyDescent="0.25">
      <c r="A27" s="248">
        <f>'7-الحمولات الجديدة'!I12</f>
        <v>26830.769990412038</v>
      </c>
      <c r="B27" s="140">
        <f t="shared" si="4"/>
        <v>3</v>
      </c>
      <c r="C27" s="293">
        <f t="shared" si="4"/>
        <v>3</v>
      </c>
      <c r="D27" s="293">
        <f t="shared" si="4"/>
        <v>1.8499999999999999</v>
      </c>
      <c r="E27" s="293">
        <f t="shared" si="4"/>
        <v>0.25</v>
      </c>
      <c r="F27" s="293">
        <f t="shared" si="4"/>
        <v>1.5999999999999999</v>
      </c>
      <c r="G27" s="293">
        <f t="shared" si="4"/>
        <v>0.4</v>
      </c>
      <c r="H27" s="293">
        <f t="shared" si="4"/>
        <v>0.6</v>
      </c>
      <c r="I27" s="293">
        <f>'4 - حساب قوة سبق الاجهاد'!$C$34/1000^2</f>
        <v>3.3600000000000001E-3</v>
      </c>
      <c r="J27" s="293">
        <f>'0- المعطيات'!$I$32/'0- المعطيات'!$I$31</f>
        <v>6.25</v>
      </c>
      <c r="K27" s="294">
        <f>I27*(J27-1)+'1- تحديد الأبعاد الأولية'!I22</f>
        <v>0.80764000000000002</v>
      </c>
      <c r="L27" s="275">
        <f t="shared" si="5"/>
        <v>0.89198509236788648</v>
      </c>
      <c r="M27" s="275">
        <f>(E27*H27*(D27-E27/2)+F27*G27*F27/2-I27*'3- مسار الكابل'!C13+J27*I27*'3- مسار الكابل'!C13)/K27</f>
        <v>0.95801490763211339</v>
      </c>
      <c r="N27" s="275">
        <f>E27^3*H27/12+E27*H27*(L27-E27/2)^2+F27*G27*(M27-F27/2)^2+F27^3*G27/12+(J27-1)*I27*(M27-'3- مسار الكابل'!C13)^2</f>
        <v>0.25251616359384543</v>
      </c>
      <c r="O27" s="275">
        <f t="shared" si="6"/>
        <v>0.28309460074440207</v>
      </c>
      <c r="P27" s="275">
        <f t="shared" si="7"/>
        <v>0.26358270793298966</v>
      </c>
      <c r="Q27" s="276">
        <f>M27-'3- مسار الكابل'!C13</f>
        <v>0.78901490763211335</v>
      </c>
      <c r="R27" s="281">
        <f>'3- مسار الكابل'!C13</f>
        <v>0.16899999999999998</v>
      </c>
      <c r="S27" s="281">
        <f>'7-الحمولات الجديدة'!D12</f>
        <v>2014.7513400000005</v>
      </c>
      <c r="T27" s="281">
        <f>'7-الحمولات الجديدة'!G12</f>
        <v>4390.7513400000007</v>
      </c>
    </row>
    <row r="28" spans="1:20" ht="21" x14ac:dyDescent="0.25">
      <c r="A28" s="248">
        <f>'7-الحمولات الجديدة'!I13</f>
        <v>27420.489536161727</v>
      </c>
      <c r="B28" s="140">
        <f t="shared" si="4"/>
        <v>4</v>
      </c>
      <c r="C28" s="293">
        <f t="shared" si="4"/>
        <v>4</v>
      </c>
      <c r="D28" s="293">
        <f t="shared" si="4"/>
        <v>1.7999999999999998</v>
      </c>
      <c r="E28" s="293">
        <f t="shared" si="4"/>
        <v>0.25</v>
      </c>
      <c r="F28" s="293">
        <f t="shared" si="4"/>
        <v>1.5499999999999998</v>
      </c>
      <c r="G28" s="293">
        <f t="shared" si="4"/>
        <v>0.4</v>
      </c>
      <c r="H28" s="293">
        <f t="shared" si="4"/>
        <v>0.6</v>
      </c>
      <c r="I28" s="293">
        <f>'4 - حساب قوة سبق الاجهاد'!$C$34/1000^2</f>
        <v>3.3600000000000001E-3</v>
      </c>
      <c r="J28" s="293">
        <f>'0- المعطيات'!$I$32/'0- المعطيات'!$I$31</f>
        <v>6.25</v>
      </c>
      <c r="K28" s="294">
        <f>I28*(J28-1)+'1- تحديد الأبعاد الأولية'!I23</f>
        <v>0.78764000000000001</v>
      </c>
      <c r="L28" s="275">
        <f t="shared" si="5"/>
        <v>0.86684292316286626</v>
      </c>
      <c r="M28" s="275">
        <f>(E28*H28*(D28-E28/2)+F28*G28*F28/2-I28*'3- مسار الكابل'!C14+J28*I28*'3- مسار الكابل'!C14)/K28</f>
        <v>0.93315707683713356</v>
      </c>
      <c r="N28" s="275">
        <f>E28^3*H28/12+E28*H28*(L28-E28/2)^2+F28*G28*(M28-F28/2)^2+F28^3*G28/12+(J28-1)*I28*(M28-'3- مسار الكابل'!C14)^2</f>
        <v>0.23287460790423142</v>
      </c>
      <c r="O28" s="275">
        <f t="shared" si="6"/>
        <v>0.26864683517809362</v>
      </c>
      <c r="P28" s="275">
        <f t="shared" si="7"/>
        <v>0.24955563611384973</v>
      </c>
      <c r="Q28" s="276">
        <f>M28-'3- مسار الكابل'!C14</f>
        <v>0.74937929905935574</v>
      </c>
      <c r="R28" s="281">
        <f>'3- مسار الكابل'!C14</f>
        <v>0.18377777777777776</v>
      </c>
      <c r="S28" s="281">
        <f>'7-الحمولات الجديدة'!D13</f>
        <v>1949.4584725000004</v>
      </c>
      <c r="T28" s="281">
        <f>'7-الحمولات الجديدة'!G13</f>
        <v>4248.4584725000004</v>
      </c>
    </row>
    <row r="29" spans="1:20" ht="21" x14ac:dyDescent="0.25">
      <c r="A29" s="248">
        <f>'7-الحمولات الجديدة'!I14</f>
        <v>27777.641463261709</v>
      </c>
      <c r="B29" s="140">
        <f t="shared" si="4"/>
        <v>5</v>
      </c>
      <c r="C29" s="293">
        <f t="shared" si="4"/>
        <v>5</v>
      </c>
      <c r="D29" s="293">
        <f t="shared" si="4"/>
        <v>1.7499999999999998</v>
      </c>
      <c r="E29" s="293">
        <f t="shared" si="4"/>
        <v>0.25</v>
      </c>
      <c r="F29" s="293">
        <f t="shared" si="4"/>
        <v>1.4999999999999998</v>
      </c>
      <c r="G29" s="293">
        <f t="shared" si="4"/>
        <v>0.4</v>
      </c>
      <c r="H29" s="293">
        <f t="shared" si="4"/>
        <v>0.6</v>
      </c>
      <c r="I29" s="293">
        <f>'4 - حساب قوة سبق الاجهاد'!$C$34/1000^2</f>
        <v>3.3600000000000001E-3</v>
      </c>
      <c r="J29" s="293">
        <f>'0- المعطيات'!$I$32/'0- المعطيات'!$I$31</f>
        <v>6.25</v>
      </c>
      <c r="K29" s="294">
        <f>I29*(J29-1)+'1- تحديد الأبعاد الأولية'!I24</f>
        <v>0.76763999999999999</v>
      </c>
      <c r="L29" s="275">
        <f t="shared" si="5"/>
        <v>0.84159632119222538</v>
      </c>
      <c r="M29" s="275">
        <f>(E29*H29*(D29-E29/2)+F29*G29*F29/2-I29*'3- مسار الكابل'!C15+J29*I29*'3- مسار الكابل'!C15)/K29</f>
        <v>0.9084036788077744</v>
      </c>
      <c r="N29" s="275">
        <f>E29^3*H29/12+E29*H29*(L29-E29/2)^2+F29*G29*(M29-F29/2)^2+F29^3*G29/12+(J29-1)*I29*(M29-'3- مسار الكابل'!C15)^2</f>
        <v>0.21414592397912205</v>
      </c>
      <c r="O29" s="275">
        <f t="shared" si="6"/>
        <v>0.25445206756103428</v>
      </c>
      <c r="P29" s="275">
        <f t="shared" si="7"/>
        <v>0.23573872384596217</v>
      </c>
      <c r="Q29" s="276">
        <f>M29-'3- مسار الكابل'!C15</f>
        <v>0.70562590102999667</v>
      </c>
      <c r="R29" s="281">
        <f>'3- مسار الكابل'!C15</f>
        <v>0.20277777777777772</v>
      </c>
      <c r="S29" s="281">
        <f>'7-الحمولات الجديدة'!D14</f>
        <v>1865.5105000000003</v>
      </c>
      <c r="T29" s="281">
        <f>'7-الحمولات الجديدة'!G14</f>
        <v>4065.5105000000003</v>
      </c>
    </row>
    <row r="30" spans="1:20" ht="21" x14ac:dyDescent="0.25">
      <c r="A30" s="248">
        <f>'7-الحمولات الجديدة'!I15</f>
        <v>27856.023522785425</v>
      </c>
      <c r="B30" s="140">
        <f t="shared" si="4"/>
        <v>6</v>
      </c>
      <c r="C30" s="293">
        <f t="shared" si="4"/>
        <v>6</v>
      </c>
      <c r="D30" s="293">
        <f t="shared" si="4"/>
        <v>1.6999999999999997</v>
      </c>
      <c r="E30" s="293">
        <f t="shared" si="4"/>
        <v>0.25</v>
      </c>
      <c r="F30" s="293">
        <f t="shared" si="4"/>
        <v>1.4499999999999997</v>
      </c>
      <c r="G30" s="293">
        <f t="shared" si="4"/>
        <v>0.4</v>
      </c>
      <c r="H30" s="293">
        <f t="shared" si="4"/>
        <v>0.6</v>
      </c>
      <c r="I30" s="293">
        <f>'4 - حساب قوة سبق الاجهاد'!$C$34/1000^2</f>
        <v>3.3600000000000001E-3</v>
      </c>
      <c r="J30" s="293">
        <f>'0- المعطيات'!$I$32/'0- المعطيات'!$I$31</f>
        <v>6.25</v>
      </c>
      <c r="K30" s="294">
        <f>I30*(J30-1)+'1- تحديد الأبعاد الأولية'!I25</f>
        <v>0.74763999999999997</v>
      </c>
      <c r="L30" s="275">
        <f t="shared" si="5"/>
        <v>0.81623690546252192</v>
      </c>
      <c r="M30" s="275">
        <f>(E30*H30*(D30-E30/2)+F30*G30*F30/2-I30*'3- مسار الكابل'!C16+J30*I30*'3- مسار الكابل'!C16)/K30</f>
        <v>0.88376309453747781</v>
      </c>
      <c r="N30" s="275">
        <f>E30^3*H30/12+E30*H30*(L30-E30/2)^2+F30*G30*(M30-F30/2)^2+F30^3*G30/12+(J30-1)*I30*(M30-'3- مسار الكابل'!C16)^2</f>
        <v>0.19632465633263771</v>
      </c>
      <c r="O30" s="275">
        <f t="shared" si="6"/>
        <v>0.24052411134410792</v>
      </c>
      <c r="P30" s="275">
        <f t="shared" si="7"/>
        <v>0.22214624886026191</v>
      </c>
      <c r="Q30" s="276">
        <f>M30-'3- مسار الكابل'!C16</f>
        <v>0.65776309453747794</v>
      </c>
      <c r="R30" s="281">
        <f>'3- مسار الكابل'!C16</f>
        <v>0.22599999999999992</v>
      </c>
      <c r="S30" s="281">
        <f>'7-الحمولات الجديدة'!D15</f>
        <v>1762.9074225000004</v>
      </c>
      <c r="T30" s="281">
        <f>'7-الحمولات الجديدة'!G15</f>
        <v>3841.9074225000004</v>
      </c>
    </row>
    <row r="31" spans="1:20" ht="21" x14ac:dyDescent="0.25">
      <c r="A31" s="248">
        <f>'7-الحمولات الجديدة'!I16</f>
        <v>27598.531822822362</v>
      </c>
      <c r="B31" s="140">
        <f t="shared" si="4"/>
        <v>7</v>
      </c>
      <c r="C31" s="293">
        <f t="shared" si="4"/>
        <v>7</v>
      </c>
      <c r="D31" s="293">
        <f t="shared" si="4"/>
        <v>1.6499999999999997</v>
      </c>
      <c r="E31" s="293">
        <f t="shared" si="4"/>
        <v>0.25</v>
      </c>
      <c r="F31" s="293">
        <f t="shared" si="4"/>
        <v>1.3999999999999997</v>
      </c>
      <c r="G31" s="293">
        <f t="shared" si="4"/>
        <v>0.4</v>
      </c>
      <c r="H31" s="293">
        <f t="shared" si="4"/>
        <v>0.6</v>
      </c>
      <c r="I31" s="293">
        <f>'4 - حساب قوة سبق الاجهاد'!$C$34/1000^2</f>
        <v>3.3600000000000001E-3</v>
      </c>
      <c r="J31" s="293">
        <f>'0- المعطيات'!$I$32/'0- المعطيات'!$I$31</f>
        <v>6.25</v>
      </c>
      <c r="K31" s="294">
        <f>I31*(J31-1)+'1- تحديد الأبعاد الأولية'!I26</f>
        <v>0.72763999999999995</v>
      </c>
      <c r="L31" s="275">
        <f t="shared" si="5"/>
        <v>0.79075537353636405</v>
      </c>
      <c r="M31" s="275">
        <f>(E31*H31*(D31-E31/2)+F31*G31*F31/2-I31*'3- مسار الكابل'!C17+J31*I31*'3- مسار الكابل'!C17)/K31</f>
        <v>0.85924462646363564</v>
      </c>
      <c r="N31" s="275">
        <f>E31^3*H31/12+E31*H31*(L31-E31/2)^2+F31*G31*(M31-F31/2)^2+F31^3*G31/12+(J31-1)*I31*(M31-'3- مسار الكابل'!C17)^2</f>
        <v>0.1794071775676005</v>
      </c>
      <c r="O31" s="275">
        <f t="shared" si="6"/>
        <v>0.22688075676965375</v>
      </c>
      <c r="P31" s="275">
        <f t="shared" si="7"/>
        <v>0.20879639167018199</v>
      </c>
      <c r="Q31" s="276">
        <f>M31-'3- مسار الكابل'!C17</f>
        <v>0.60580018201919128</v>
      </c>
      <c r="R31" s="281">
        <f>'3- مسار الكابل'!C17</f>
        <v>0.25344444444444436</v>
      </c>
      <c r="S31" s="281">
        <f>'7-الحمولات الجديدة'!D16</f>
        <v>1641.6492400000002</v>
      </c>
      <c r="T31" s="281">
        <f>'7-الحمولات الجديدة'!G16</f>
        <v>3577.6492400000002</v>
      </c>
    </row>
    <row r="32" spans="1:20" ht="21" x14ac:dyDescent="0.25">
      <c r="A32" s="248">
        <f>'7-الحمولات الجديدة'!I17</f>
        <v>26934.268074298023</v>
      </c>
      <c r="B32" s="140">
        <f t="shared" si="4"/>
        <v>8</v>
      </c>
      <c r="C32" s="293">
        <f t="shared" si="4"/>
        <v>8</v>
      </c>
      <c r="D32" s="293">
        <f t="shared" si="4"/>
        <v>1.5999999999999996</v>
      </c>
      <c r="E32" s="293">
        <f t="shared" si="4"/>
        <v>0.25</v>
      </c>
      <c r="F32" s="293">
        <f t="shared" si="4"/>
        <v>1.3499999999999996</v>
      </c>
      <c r="G32" s="293">
        <f t="shared" si="4"/>
        <v>0.4</v>
      </c>
      <c r="H32" s="293">
        <f t="shared" si="4"/>
        <v>0.6</v>
      </c>
      <c r="I32" s="293">
        <f>'4 - حساب قوة سبق الاجهاد'!$C$34/1000^2</f>
        <v>3.3600000000000001E-3</v>
      </c>
      <c r="J32" s="293">
        <f>'0- المعطيات'!$I$32/'0- المعطيات'!$I$31</f>
        <v>6.25</v>
      </c>
      <c r="K32" s="294">
        <f>I32*(J32-1)+'1- تحديد الأبعاد الأولية'!I27</f>
        <v>0.70763999999999994</v>
      </c>
      <c r="L32" s="275">
        <f t="shared" si="5"/>
        <v>0.7651413713187496</v>
      </c>
      <c r="M32" s="275">
        <f>(E32*H32*(D32-E32/2)+F32*G32*F32/2-I32*'3- مسار الكابل'!C18+J32*I32*'3- مسار الكابل'!C18)/K32</f>
        <v>0.83485862868125005</v>
      </c>
      <c r="N32" s="275">
        <f>E32^3*H32/12+E32*H32*(L32-E32/2)^2+F32*G32*(M32-F32/2)^2+F32^3*G32/12+(J32-1)*I32*(M32-'3- مسار الكابل'!C18)^2</f>
        <v>0.16339168007499097</v>
      </c>
      <c r="O32" s="275">
        <f t="shared" si="6"/>
        <v>0.21354443270186702</v>
      </c>
      <c r="P32" s="275">
        <f t="shared" si="7"/>
        <v>0.19571179414302262</v>
      </c>
      <c r="Q32" s="276">
        <f>M32-'3- مسار الكابل'!C18</f>
        <v>0.54974751757013907</v>
      </c>
      <c r="R32" s="281">
        <f>'3- مسار الكابل'!C18</f>
        <v>0.28511111111111098</v>
      </c>
      <c r="S32" s="281">
        <f>'7-الحمولات الجديدة'!D17</f>
        <v>1501.7359525000002</v>
      </c>
      <c r="T32" s="281">
        <f>'7-الحمولات الجديدة'!G17</f>
        <v>3272.7359525000002</v>
      </c>
    </row>
    <row r="33" spans="1:20" ht="21" x14ac:dyDescent="0.25">
      <c r="A33" s="248">
        <f>'7-الحمولات الجديدة'!I18</f>
        <v>25774.907251372799</v>
      </c>
      <c r="B33" s="140">
        <f t="shared" si="4"/>
        <v>9</v>
      </c>
      <c r="C33" s="293">
        <f t="shared" si="4"/>
        <v>9</v>
      </c>
      <c r="D33" s="293">
        <f t="shared" si="4"/>
        <v>1.5499999999999996</v>
      </c>
      <c r="E33" s="293">
        <f t="shared" si="4"/>
        <v>0.25</v>
      </c>
      <c r="F33" s="293">
        <f t="shared" si="4"/>
        <v>1.2999999999999996</v>
      </c>
      <c r="G33" s="293">
        <f t="shared" si="4"/>
        <v>0.4</v>
      </c>
      <c r="H33" s="293">
        <f t="shared" si="4"/>
        <v>0.6</v>
      </c>
      <c r="I33" s="293">
        <f>'4 - حساب قوة سبق الاجهاد'!$C$34/1000^2</f>
        <v>3.3600000000000001E-3</v>
      </c>
      <c r="J33" s="293">
        <f>'0- المعطيات'!$I$32/'0- المعطيات'!$I$31</f>
        <v>6.25</v>
      </c>
      <c r="K33" s="294">
        <f>I33*(J33-1)+'1- تحديد الأبعاد الأولية'!I28</f>
        <v>0.68763999999999992</v>
      </c>
      <c r="L33" s="275">
        <f t="shared" si="5"/>
        <v>0.73938334011982998</v>
      </c>
      <c r="M33" s="275">
        <f>(E33*H33*(D33-E33/2)+F33*G33*F33/2-I33*'3- مسار الكابل'!C19+J33*I33*'3- مسار الكابل'!C19)/K33</f>
        <v>0.81061665988016962</v>
      </c>
      <c r="N33" s="275">
        <f>E33^3*H33/12+E33*H33*(L33-E33/2)^2+F33*G33*(M33-F33/2)^2+F33^3*G33/12+(J33-1)*I33*(M33-'3- مسار الكابل'!C19)^2</f>
        <v>0.14827816628487764</v>
      </c>
      <c r="O33" s="275">
        <f t="shared" si="6"/>
        <v>0.20054301772724087</v>
      </c>
      <c r="P33" s="275">
        <f t="shared" si="7"/>
        <v>0.18292020584279262</v>
      </c>
      <c r="Q33" s="276">
        <f>M33-'3- مسار الكابل'!C19</f>
        <v>0.48961665988016978</v>
      </c>
      <c r="R33" s="281">
        <f>'3- مسار الكابل'!C19</f>
        <v>0.32099999999999984</v>
      </c>
      <c r="S33" s="281">
        <f>'7-الحمولات الجديدة'!D18</f>
        <v>1343.1675600000003</v>
      </c>
      <c r="T33" s="281">
        <f>'7-الحمولات الجديدة'!G18</f>
        <v>2927.1675600000003</v>
      </c>
    </row>
    <row r="34" spans="1:20" ht="21" x14ac:dyDescent="0.25">
      <c r="A34" s="248">
        <f>'7-الحمولات الجديدة'!I19</f>
        <v>24010.211053720985</v>
      </c>
      <c r="B34" s="140">
        <f t="shared" si="4"/>
        <v>10</v>
      </c>
      <c r="C34" s="293">
        <f t="shared" si="4"/>
        <v>10</v>
      </c>
      <c r="D34" s="293">
        <f t="shared" si="4"/>
        <v>1.4999999999999996</v>
      </c>
      <c r="E34" s="293">
        <f t="shared" si="4"/>
        <v>0.25</v>
      </c>
      <c r="F34" s="293">
        <f t="shared" si="4"/>
        <v>1.2499999999999996</v>
      </c>
      <c r="G34" s="293">
        <f t="shared" si="4"/>
        <v>0.4</v>
      </c>
      <c r="H34" s="293">
        <f t="shared" si="4"/>
        <v>0.6</v>
      </c>
      <c r="I34" s="293">
        <f>'4 - حساب قوة سبق الاجهاد'!$C$34/1000^2</f>
        <v>3.3600000000000001E-3</v>
      </c>
      <c r="J34" s="293">
        <f>'0- المعطيات'!$I$32/'0- المعطيات'!$I$31</f>
        <v>6.25</v>
      </c>
      <c r="K34" s="294">
        <f>I34*(J34-1)+'1- تحديد الأبعاد الأولية'!I29</f>
        <v>0.66763999999999979</v>
      </c>
      <c r="L34" s="275">
        <f t="shared" si="5"/>
        <v>0.71346833622910522</v>
      </c>
      <c r="M34" s="275">
        <f>(E34*H34*(D34-E34/2)+F34*G34*F34/2-I34*'3- مسار الكابل'!C20+J34*I34*'3- مسار الكابل'!C20)/K34</f>
        <v>0.78653166377089434</v>
      </c>
      <c r="N34" s="275">
        <f>E34^3*H34/12+E34*H34*(L34-E34/2)^2+F34*G34*(M34-F34/2)^2+F34^3*G34/12+(J34-1)*I34*(M34-'3- مسار الكابل'!C20)^2</f>
        <v>0.13406843716507222</v>
      </c>
      <c r="O34" s="275">
        <f t="shared" si="6"/>
        <v>0.18791084391167831</v>
      </c>
      <c r="P34" s="275">
        <f t="shared" si="7"/>
        <v>0.17045523192582426</v>
      </c>
      <c r="Q34" s="276">
        <f>M34-'3- مسار الكابل'!C20</f>
        <v>0.4254205526597834</v>
      </c>
      <c r="R34" s="281">
        <f>'3- مسار الكابل'!C20</f>
        <v>0.36111111111111094</v>
      </c>
      <c r="S34" s="281">
        <f>'7-الحمولات الجديدة'!D19</f>
        <v>1165.9440625000002</v>
      </c>
      <c r="T34" s="281">
        <f>'7-الحمولات الجديدة'!G19</f>
        <v>2540.9440625000002</v>
      </c>
    </row>
    <row r="35" spans="1:20" ht="21" x14ac:dyDescent="0.25">
      <c r="A35" s="248">
        <f>'7-الحمولات الجديدة'!I20</f>
        <v>21502.64233748558</v>
      </c>
      <c r="B35" s="140">
        <f t="shared" si="4"/>
        <v>11</v>
      </c>
      <c r="C35" s="293">
        <f t="shared" si="4"/>
        <v>11</v>
      </c>
      <c r="D35" s="293">
        <f t="shared" si="4"/>
        <v>1.4499999999999995</v>
      </c>
      <c r="E35" s="293">
        <f t="shared" si="4"/>
        <v>0.25</v>
      </c>
      <c r="F35" s="293">
        <f t="shared" si="4"/>
        <v>1.1999999999999995</v>
      </c>
      <c r="G35" s="293">
        <f t="shared" si="4"/>
        <v>0.4</v>
      </c>
      <c r="H35" s="293">
        <f t="shared" si="4"/>
        <v>0.6</v>
      </c>
      <c r="I35" s="293">
        <f>'4 - حساب قوة سبق الاجهاد'!$C$34/1000^2</f>
        <v>3.3600000000000001E-3</v>
      </c>
      <c r="J35" s="293">
        <f>'0- المعطيات'!$I$32/'0- المعطيات'!$I$31</f>
        <v>6.25</v>
      </c>
      <c r="K35" s="294">
        <f>I35*(J35-1)+'1- تحديد الأبعاد الأولية'!I30</f>
        <v>0.64763999999999977</v>
      </c>
      <c r="L35" s="275">
        <f t="shared" si="5"/>
        <v>0.68738181705885959</v>
      </c>
      <c r="M35" s="275">
        <f>(E35*H35*(D35-E35/2)+F35*G35*F35/2-I35*'3- مسار الكابل'!C21+J35*I35*'3- مسار الكابل'!C21)/K35</f>
        <v>0.76261818294113992</v>
      </c>
      <c r="N35" s="275">
        <f>E35^3*H35/12+E35*H35*(L35-E35/2)^2+F35*G35*(M35-F35/2)^2+F35^3*G35/12+(J35-1)*I35*(M35-'3- مسار الكابل'!C21)^2</f>
        <v>0.12076607858872201</v>
      </c>
      <c r="O35" s="275">
        <f t="shared" si="6"/>
        <v>0.17568995220945882</v>
      </c>
      <c r="P35" s="275">
        <f t="shared" si="7"/>
        <v>0.15835719799254108</v>
      </c>
      <c r="Q35" s="276">
        <f>M35-'3- مسار الكابل'!C21</f>
        <v>0.35717373849669565</v>
      </c>
      <c r="R35" s="281">
        <f>'3- مسار الكابل'!C21</f>
        <v>0.40544444444444427</v>
      </c>
      <c r="S35" s="281">
        <f>'7-الحمولات الجديدة'!D20</f>
        <v>970.06546000000014</v>
      </c>
      <c r="T35" s="281">
        <f>'7-الحمولات الجديدة'!G20</f>
        <v>2114.0654600000003</v>
      </c>
    </row>
    <row r="36" spans="1:20" ht="21" x14ac:dyDescent="0.25">
      <c r="A36" s="248">
        <f>'7-الحمولات الجديدة'!I21</f>
        <v>16759.439167440127</v>
      </c>
      <c r="B36" s="140">
        <f t="shared" si="4"/>
        <v>12</v>
      </c>
      <c r="C36" s="293">
        <f t="shared" si="4"/>
        <v>12</v>
      </c>
      <c r="D36" s="293">
        <f t="shared" si="4"/>
        <v>1.3999999999999995</v>
      </c>
      <c r="E36" s="293">
        <f t="shared" si="4"/>
        <v>0.25</v>
      </c>
      <c r="F36" s="293">
        <f t="shared" si="4"/>
        <v>1.1499999999999995</v>
      </c>
      <c r="G36" s="293">
        <f t="shared" si="4"/>
        <v>0.44285714285714295</v>
      </c>
      <c r="H36" s="293">
        <f t="shared" si="4"/>
        <v>0.6</v>
      </c>
      <c r="I36" s="293">
        <f>'4 - حساب قوة سبق الاجهاد'!$C$34/1000^2</f>
        <v>3.3600000000000001E-3</v>
      </c>
      <c r="J36" s="293">
        <f>'0- المعطيات'!$I$32/'0- المعطيات'!$I$31</f>
        <v>6.25</v>
      </c>
      <c r="K36" s="294">
        <f>I36*(J36-1)+'1- تحديد الأبعاد الأولية'!I31</f>
        <v>0.67692571428571413</v>
      </c>
      <c r="L36" s="275">
        <f t="shared" si="5"/>
        <v>0.67304010568789974</v>
      </c>
      <c r="M36" s="275">
        <f>(E36*H36*(D36-E36/2)+F36*G36*F36/2-I36*'3- مسار الكابل'!C22+J36*I36*'3- مسار الكابل'!C22)/K36</f>
        <v>0.72695989431209973</v>
      </c>
      <c r="N36" s="275">
        <f>E36^3*H36/12+E36*H36*(L36-E36/2)^2+F36*G36*(M36-F36/2)^2+F36^3*G36/12+(J36-1)*I36*(M36-'3- مسار الكابل'!C22)^2</f>
        <v>0.11503560737594964</v>
      </c>
      <c r="O36" s="275">
        <f t="shared" si="6"/>
        <v>0.17091939455580324</v>
      </c>
      <c r="P36" s="275">
        <f t="shared" si="7"/>
        <v>0.15824202720949879</v>
      </c>
      <c r="Q36" s="276">
        <f>M36-'3- مسار الكابل'!C22</f>
        <v>0.27295989431209999</v>
      </c>
      <c r="R36" s="281">
        <f>'3- مسار الكابل'!C22</f>
        <v>0.45399999999999974</v>
      </c>
      <c r="S36" s="281">
        <f>'7-الحمولات الجديدة'!D21</f>
        <v>755.53175250000015</v>
      </c>
      <c r="T36" s="281">
        <f>'7-الحمولات الجديدة'!G21</f>
        <v>1646.5317525</v>
      </c>
    </row>
    <row r="37" spans="1:20" ht="21" x14ac:dyDescent="0.25">
      <c r="A37" s="248">
        <f>'7-الحمولات الجديدة'!I22</f>
        <v>11203.87918297639</v>
      </c>
      <c r="B37" s="140">
        <f t="shared" si="4"/>
        <v>13</v>
      </c>
      <c r="C37" s="293">
        <f t="shared" si="4"/>
        <v>13</v>
      </c>
      <c r="D37" s="293">
        <f t="shared" si="4"/>
        <v>1.3499999999999994</v>
      </c>
      <c r="E37" s="293">
        <f t="shared" si="4"/>
        <v>0.25</v>
      </c>
      <c r="F37" s="293">
        <f t="shared" si="4"/>
        <v>1.0999999999999994</v>
      </c>
      <c r="G37" s="293">
        <f t="shared" si="4"/>
        <v>0.51428571428571435</v>
      </c>
      <c r="H37" s="293">
        <f t="shared" si="4"/>
        <v>0.6</v>
      </c>
      <c r="I37" s="293">
        <f>'4 - حساب قوة سبق الاجهاد'!$C$34/1000^2</f>
        <v>3.3600000000000001E-3</v>
      </c>
      <c r="J37" s="293">
        <f>'0- المعطيات'!$I$32/'0- المعطيات'!$I$31</f>
        <v>6.25</v>
      </c>
      <c r="K37" s="294">
        <f>I37*(J37-1)+'1- تحديد الأبعاد الأولية'!I32</f>
        <v>0.73335428571428551</v>
      </c>
      <c r="L37" s="275">
        <f t="shared" si="5"/>
        <v>0.66297542407879229</v>
      </c>
      <c r="M37" s="275">
        <f>(E37*H37*(D37-E37/2)+F37*G37*F37/2-I37*'3- مسار الكابل'!C23+J37*I37*'3- مسار الكابل'!C23)/K37</f>
        <v>0.68702457592120714</v>
      </c>
      <c r="N37" s="275">
        <f>E37^3*H37/12+E37*H37*(L37-E37/2)^2+F37*G37*(M37-F37/2)^2+F37^3*G37/12+(J37-1)*I37*(M37-'3- مسار الكابل'!C23)^2</f>
        <v>0.11243154619961122</v>
      </c>
      <c r="O37" s="275">
        <f t="shared" si="6"/>
        <v>0.16958629553400931</v>
      </c>
      <c r="P37" s="275">
        <f t="shared" si="7"/>
        <v>0.16364996266524484</v>
      </c>
      <c r="Q37" s="276">
        <f>M37-'3- مسار الكابل'!C23</f>
        <v>0.18024679814342959</v>
      </c>
      <c r="R37" s="281">
        <f>'3- مسار الكابل'!C23</f>
        <v>0.50677777777777755</v>
      </c>
      <c r="S37" s="281">
        <f>'7-الحمولات الجديدة'!D22</f>
        <v>522.34294000000011</v>
      </c>
      <c r="T37" s="281">
        <f>'7-الحمولات الجديدة'!G22</f>
        <v>1138.34294</v>
      </c>
    </row>
    <row r="38" spans="1:20" ht="21" x14ac:dyDescent="0.25">
      <c r="A38" s="248">
        <f>'7-الحمولات الجديدة'!I23</f>
        <v>5699.1070269724569</v>
      </c>
      <c r="B38" s="140">
        <f t="shared" si="4"/>
        <v>14</v>
      </c>
      <c r="C38" s="293">
        <f t="shared" si="4"/>
        <v>14</v>
      </c>
      <c r="D38" s="293">
        <f t="shared" si="4"/>
        <v>1.2999999999999994</v>
      </c>
      <c r="E38" s="293">
        <f t="shared" si="4"/>
        <v>0.25</v>
      </c>
      <c r="F38" s="293">
        <f t="shared" si="4"/>
        <v>1.0499999999999994</v>
      </c>
      <c r="G38" s="293">
        <f t="shared" si="4"/>
        <v>0.58571428571428585</v>
      </c>
      <c r="H38" s="293">
        <f t="shared" si="4"/>
        <v>0.6</v>
      </c>
      <c r="I38" s="293">
        <f>'4 - حساب قوة سبق الاجهاد'!$C$34/1000^2</f>
        <v>3.3600000000000001E-3</v>
      </c>
      <c r="J38" s="293">
        <f>'0- المعطيات'!$I$32/'0- المعطيات'!$I$31</f>
        <v>6.25</v>
      </c>
      <c r="K38" s="294">
        <f>I38*(J38-1)+'1- تحديد الأبعاد الأولية'!I33</f>
        <v>0.78263999999999978</v>
      </c>
      <c r="L38" s="275">
        <f t="shared" si="5"/>
        <v>0.64954763365020929</v>
      </c>
      <c r="M38" s="275">
        <f>(E38*H38*(D38-E38/2)+F38*G38*F38/2-I38*'3- مسار الكابل'!C24+J38*I38*'3- مسار الكابل'!C24)/K38</f>
        <v>0.65045236634979009</v>
      </c>
      <c r="N38" s="275">
        <f>E38^3*H38/12+E38*H38*(L38-E38/2)^2+F38*G38*(M38-F38/2)^2+F38^3*G38/12+(J38-1)*I38*(M38-'3- مسار الكابل'!C24)^2</f>
        <v>0.10836848039532848</v>
      </c>
      <c r="O38" s="275">
        <f t="shared" si="6"/>
        <v>0.16683684887948719</v>
      </c>
      <c r="P38" s="275">
        <f t="shared" si="7"/>
        <v>0.16660479076042253</v>
      </c>
      <c r="Q38" s="276">
        <f>M38-'3- مسار الكابل'!C24</f>
        <v>8.6674588572012601E-2</v>
      </c>
      <c r="R38" s="281">
        <f>'3- مسار الكابل'!C24</f>
        <v>0.56377777777777749</v>
      </c>
      <c r="S38" s="281">
        <f>'7-الحمولات الجديدة'!D23</f>
        <v>270.49902250000002</v>
      </c>
      <c r="T38" s="281">
        <f>'7-الحمولات الجديدة'!G23</f>
        <v>589.49902250000002</v>
      </c>
    </row>
    <row r="39" spans="1:20" ht="21" customHeight="1" x14ac:dyDescent="0.25">
      <c r="A39" s="248">
        <f>'7-الحمولات الجديدة'!I24</f>
        <v>0</v>
      </c>
      <c r="B39" s="140">
        <f>B19</f>
        <v>15</v>
      </c>
      <c r="C39" s="295">
        <f t="shared" si="4"/>
        <v>15</v>
      </c>
      <c r="D39" s="295">
        <f t="shared" si="4"/>
        <v>1.2499999999999993</v>
      </c>
      <c r="E39" s="295">
        <f t="shared" si="4"/>
        <v>0.25</v>
      </c>
      <c r="F39" s="295">
        <f t="shared" si="4"/>
        <v>0.99999999999999933</v>
      </c>
      <c r="G39" s="295">
        <f t="shared" si="4"/>
        <v>0.6</v>
      </c>
      <c r="H39" s="295">
        <f t="shared" si="4"/>
        <v>0.6</v>
      </c>
      <c r="I39" s="293">
        <f>'4 - حساب قوة سبق الاجهاد'!$C$34/1000^2</f>
        <v>3.3600000000000001E-3</v>
      </c>
      <c r="J39" s="293">
        <f>'0- المعطيات'!$I$32/'0- المعطيات'!$I$31</f>
        <v>6.25</v>
      </c>
      <c r="K39" s="294">
        <f>I39*(J39-1)+'1- تحديد الأبعاد الأولية'!I34</f>
        <v>0.76763999999999954</v>
      </c>
      <c r="L39" s="275">
        <f t="shared" si="5"/>
        <v>0.62499999999999967</v>
      </c>
      <c r="M39" s="275">
        <f>(E39*H39*(D39-E39/2)+F39*G39*F39/2-I39*'3- مسار الكابل'!C25+J39*I39*'3- مسار الكابل'!C25)/K39</f>
        <v>0.62499999999999967</v>
      </c>
      <c r="N39" s="275">
        <f>E39^3*H39/12+E39*H39*(L39-E39/2)^2+F39*G39*(M39-F39/2)^2+F39^3*G39/12+(J39-1)*I39*(M39-'3- مسار الكابل'!C25)^2</f>
        <v>9.7656249999999833E-2</v>
      </c>
      <c r="O39" s="275">
        <f t="shared" si="6"/>
        <v>0.15624999999999981</v>
      </c>
      <c r="P39" s="275">
        <f t="shared" si="7"/>
        <v>0.15624999999999981</v>
      </c>
      <c r="Q39" s="276">
        <f>M39-'3- مسار الكابل'!C25</f>
        <v>0</v>
      </c>
      <c r="R39" s="281">
        <f>'3- مسار الكابل'!C25</f>
        <v>0.62499999999999967</v>
      </c>
      <c r="S39" s="281">
        <f>'7-الحمولات الجديدة'!D24</f>
        <v>0</v>
      </c>
      <c r="T39" s="281">
        <f>'7-الحمولات الجديدة'!G24</f>
        <v>0</v>
      </c>
    </row>
    <row r="40" spans="1:20" ht="61.5" thickBot="1" x14ac:dyDescent="0.3">
      <c r="A40" s="248">
        <f>'7-الحمولات الجديدة'!I25</f>
        <v>18648.64685476958</v>
      </c>
      <c r="B40" s="141" t="str">
        <f>B20</f>
        <v>بداية الجزء المتغيرالعطالة11`</v>
      </c>
      <c r="C40" s="296">
        <f t="shared" ref="C40:H40" si="8">C20</f>
        <v>11.399999999999999</v>
      </c>
      <c r="D40" s="296">
        <f t="shared" si="8"/>
        <v>1.4299999999999995</v>
      </c>
      <c r="E40" s="296">
        <f t="shared" si="8"/>
        <v>0.25</v>
      </c>
      <c r="F40" s="296">
        <f t="shared" si="8"/>
        <v>1.1799999999999995</v>
      </c>
      <c r="G40" s="296">
        <f t="shared" si="8"/>
        <v>0.4</v>
      </c>
      <c r="H40" s="296">
        <f t="shared" si="8"/>
        <v>0.6</v>
      </c>
      <c r="I40" s="297">
        <f>'4 - حساب قوة سبق الاجهاد'!$C$34/1000^2</f>
        <v>3.3600000000000001E-3</v>
      </c>
      <c r="J40" s="297">
        <f>'0- المعطيات'!$I$32/'0- المعطيات'!$I$31</f>
        <v>6.25</v>
      </c>
      <c r="K40" s="298">
        <f>I40*(J40-1)+'1- تحديد الأبعاد الأولية'!I35</f>
        <v>0.63963999999999976</v>
      </c>
      <c r="L40" s="279">
        <f t="shared" si="5"/>
        <v>0.68859858670502128</v>
      </c>
      <c r="M40" s="279">
        <f>(E40*H40*(D40-E40/2)+F40*G40*F40/2-I40*'3- مسار الكابل'!C26+J40*I40*'3- مسار الكابل'!C26)/K40</f>
        <v>0.74140141329497822</v>
      </c>
      <c r="N40" s="279">
        <f>E40^3*H40/12+E40*H40*(L40-E40/2)^2+F40*G40*(M40-F40/2)^2+F40^3*G40/12+(J40-1)*I40*(M40-'3- مسار الكابل'!C26)^2</f>
        <v>0.12371114110645559</v>
      </c>
      <c r="O40" s="279">
        <f t="shared" si="6"/>
        <v>0.1796563970577105</v>
      </c>
      <c r="P40" s="279">
        <f t="shared" si="7"/>
        <v>0.16686121564922776</v>
      </c>
      <c r="Q40" s="280">
        <f>M40-'3- مسار الكابل'!C26</f>
        <v>0.74140141329497822</v>
      </c>
      <c r="R40" s="281">
        <f>'3- مسار الكابل'!C26</f>
        <v>0</v>
      </c>
      <c r="S40" s="281">
        <f>'7-الحمولات الجديدة'!D25</f>
        <v>886.49058960000013</v>
      </c>
      <c r="T40" s="281">
        <f>'7-الحمولات الجديدة'!G25</f>
        <v>1931.9305896000001</v>
      </c>
    </row>
  </sheetData>
  <mergeCells count="3">
    <mergeCell ref="B2:P2"/>
    <mergeCell ref="B1:P1"/>
    <mergeCell ref="B22:Q22"/>
  </mergeCells>
  <printOptions horizontalCentered="1" verticalCentered="1"/>
  <pageMargins left="0.7" right="0.7" top="0.75" bottom="0.75" header="0.3" footer="0.3"/>
  <pageSetup paperSize="9" scale="5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51"/>
  <sheetViews>
    <sheetView showGridLines="0" topLeftCell="B1" zoomScale="60" zoomScaleNormal="60" workbookViewId="0">
      <selection activeCell="M31" sqref="M31"/>
    </sheetView>
  </sheetViews>
  <sheetFormatPr defaultColWidth="9" defaultRowHeight="20.25" x14ac:dyDescent="0.25"/>
  <cols>
    <col min="1" max="1" width="13" style="102" hidden="1" customWidth="1"/>
    <col min="2" max="2" width="14.7109375" style="102" customWidth="1"/>
    <col min="3" max="3" width="16.5703125" style="102" customWidth="1"/>
    <col min="4" max="4" width="19.42578125" style="102" customWidth="1"/>
    <col min="5" max="5" width="16" style="102" bestFit="1" customWidth="1"/>
    <col min="6" max="6" width="18.7109375" style="102" customWidth="1"/>
    <col min="7" max="9" width="16.7109375" style="102" bestFit="1" customWidth="1"/>
    <col min="10" max="16384" width="9" style="102"/>
  </cols>
  <sheetData>
    <row r="1" spans="1:9" ht="30" customHeight="1" thickBot="1" x14ac:dyDescent="0.3">
      <c r="B1" s="460" t="s">
        <v>395</v>
      </c>
      <c r="C1" s="461"/>
      <c r="D1" s="461"/>
      <c r="E1" s="461"/>
      <c r="F1" s="461"/>
      <c r="G1" s="461"/>
      <c r="H1" s="462"/>
    </row>
    <row r="2" spans="1:9" ht="36" customHeight="1" x14ac:dyDescent="0.25">
      <c r="B2" s="113" t="s">
        <v>146</v>
      </c>
      <c r="C2" s="487" t="s">
        <v>42</v>
      </c>
      <c r="D2" s="488"/>
      <c r="E2" s="116" t="s">
        <v>125</v>
      </c>
      <c r="F2" s="487" t="s">
        <v>38</v>
      </c>
      <c r="G2" s="488"/>
      <c r="H2" s="117" t="s">
        <v>122</v>
      </c>
    </row>
    <row r="3" spans="1:9" x14ac:dyDescent="0.25">
      <c r="B3" s="143" t="s">
        <v>41</v>
      </c>
      <c r="C3" s="144">
        <f>E3*F3</f>
        <v>27.982657500000002</v>
      </c>
      <c r="D3" s="145" t="s">
        <v>140</v>
      </c>
      <c r="E3" s="36">
        <v>1.5</v>
      </c>
      <c r="F3" s="137">
        <f>AVERAGE('1- تحديد الأبعاد الأولية'!I19:I34)*25+'0- المعطيات'!I44/100*'3- مسار الكابل'!D35</f>
        <v>18.655105000000002</v>
      </c>
      <c r="G3" s="145" t="s">
        <v>141</v>
      </c>
      <c r="H3" s="308" t="s">
        <v>126</v>
      </c>
    </row>
    <row r="4" spans="1:9" x14ac:dyDescent="0.25">
      <c r="B4" s="143" t="s">
        <v>41</v>
      </c>
      <c r="C4" s="305">
        <f t="shared" ref="C4:C5" si="0">E4*F4</f>
        <v>10.5</v>
      </c>
      <c r="D4" s="145" t="s">
        <v>142</v>
      </c>
      <c r="E4" s="36">
        <v>1.5</v>
      </c>
      <c r="F4" s="149">
        <v>7</v>
      </c>
      <c r="G4" s="145" t="s">
        <v>143</v>
      </c>
      <c r="H4" s="308" t="s">
        <v>1</v>
      </c>
    </row>
    <row r="5" spans="1:9" x14ac:dyDescent="0.25">
      <c r="B5" s="143" t="s">
        <v>41</v>
      </c>
      <c r="C5" s="305">
        <f t="shared" si="0"/>
        <v>27</v>
      </c>
      <c r="D5" s="145" t="s">
        <v>144</v>
      </c>
      <c r="E5" s="36">
        <v>1.8</v>
      </c>
      <c r="F5" s="149">
        <v>15</v>
      </c>
      <c r="G5" s="145" t="s">
        <v>40</v>
      </c>
      <c r="H5" s="308" t="s">
        <v>39</v>
      </c>
    </row>
    <row r="6" spans="1:9" ht="21" thickBot="1" x14ac:dyDescent="0.3">
      <c r="B6" s="146" t="s">
        <v>41</v>
      </c>
      <c r="C6" s="147">
        <v>65.0859375</v>
      </c>
      <c r="D6" s="148" t="s">
        <v>145</v>
      </c>
      <c r="E6" s="151"/>
      <c r="F6" s="150">
        <v>40.390625</v>
      </c>
      <c r="G6" s="148" t="s">
        <v>124</v>
      </c>
      <c r="H6" s="309" t="s">
        <v>123</v>
      </c>
    </row>
    <row r="7" spans="1:9" ht="21" thickBot="1" x14ac:dyDescent="0.3"/>
    <row r="8" spans="1:9" x14ac:dyDescent="0.25">
      <c r="B8" s="113" t="s">
        <v>43</v>
      </c>
      <c r="C8" s="116" t="s">
        <v>44</v>
      </c>
      <c r="D8" s="116" t="s">
        <v>131</v>
      </c>
      <c r="E8" s="116" t="s">
        <v>130</v>
      </c>
      <c r="F8" s="116" t="s">
        <v>127</v>
      </c>
      <c r="G8" s="116" t="s">
        <v>128</v>
      </c>
      <c r="H8" s="116" t="s">
        <v>129</v>
      </c>
      <c r="I8" s="117" t="s">
        <v>48</v>
      </c>
    </row>
    <row r="9" spans="1:9" x14ac:dyDescent="0.25">
      <c r="A9" s="249">
        <f>I9</f>
        <v>24009.308643981887</v>
      </c>
      <c r="B9" s="140">
        <f>0</f>
        <v>0</v>
      </c>
      <c r="C9" s="305">
        <f>B24</f>
        <v>15</v>
      </c>
      <c r="D9" s="152">
        <f>($F$3*'0- المعطيات'!$K$10/2*C9)-($F$3*C9*C9/2)</f>
        <v>2098.6993125000004</v>
      </c>
      <c r="E9" s="152">
        <f>($F$4*'0- المعطيات'!$K$10/2*C9)-($F$4*C9*C9/2)</f>
        <v>787.5</v>
      </c>
      <c r="F9" s="153">
        <f>($F$5*'0- المعطيات'!$K$10/2*C9)-($F$5*C9*C9/2)</f>
        <v>1687.5</v>
      </c>
      <c r="G9" s="152">
        <f t="shared" ref="G9:G25" si="1">D9+E9+F9</f>
        <v>4573.6993125000008</v>
      </c>
      <c r="H9" s="152">
        <f>D9*$E$3+E9*$E$4+F9*$E$5</f>
        <v>7366.7989687500003</v>
      </c>
      <c r="I9" s="154">
        <f>H9/'7-الخواص الهندسية الصافية'!P24</f>
        <v>24009.308643981887</v>
      </c>
    </row>
    <row r="10" spans="1:9" x14ac:dyDescent="0.25">
      <c r="A10" s="249">
        <f t="shared" ref="A10:A24" si="2">I10</f>
        <v>25097.133852532406</v>
      </c>
      <c r="B10" s="140">
        <f>B9+1</f>
        <v>1</v>
      </c>
      <c r="C10" s="305">
        <f>C9-'[2]0- المعطيات'!$K$16</f>
        <v>14</v>
      </c>
      <c r="D10" s="152">
        <f>($F$3*'0- المعطيات'!$K$10/2*C10)-($F$3*C10*C10/2)</f>
        <v>2089.37176</v>
      </c>
      <c r="E10" s="152">
        <f>($F$4*'0- المعطيات'!$K$10/2*C10)-($F$4*C10*C10/2)</f>
        <v>784</v>
      </c>
      <c r="F10" s="153">
        <f>($F$5*'0- المعطيات'!$K$10/2*C10)-($F$5*C10*C10/2)</f>
        <v>1680</v>
      </c>
      <c r="G10" s="152">
        <f t="shared" si="1"/>
        <v>4553.37176</v>
      </c>
      <c r="H10" s="152">
        <f t="shared" ref="H10:H25" si="3">D10*$E$3+E10*$E$4+F10*$E$5</f>
        <v>7334.05764</v>
      </c>
      <c r="I10" s="154">
        <f>H10/'7-الخواص الهندسية الصافية'!P25</f>
        <v>25097.133852532406</v>
      </c>
    </row>
    <row r="11" spans="1:9" x14ac:dyDescent="0.25">
      <c r="A11" s="249">
        <f t="shared" si="2"/>
        <v>26046.06594185808</v>
      </c>
      <c r="B11" s="140">
        <f t="shared" ref="B11:B24" si="4">B10+1</f>
        <v>2</v>
      </c>
      <c r="C11" s="305">
        <f>C10-'[2]0- المعطيات'!$K$16</f>
        <v>13</v>
      </c>
      <c r="D11" s="152">
        <f>($F$3*'0- المعطيات'!$K$10/2*C11)-($F$3*C11*C11/2)</f>
        <v>2061.3891025000003</v>
      </c>
      <c r="E11" s="152">
        <f>($F$4*'0- المعطيات'!$K$10/2*C11)-($F$4*C11*C11/2)</f>
        <v>773.5</v>
      </c>
      <c r="F11" s="153">
        <f>($F$5*'0- المعطيات'!$K$10/2*C11)-($F$5*C11*C11/2)</f>
        <v>1657.5</v>
      </c>
      <c r="G11" s="152">
        <f t="shared" si="1"/>
        <v>4492.3891025000003</v>
      </c>
      <c r="H11" s="152">
        <f t="shared" si="3"/>
        <v>7235.8336537499999</v>
      </c>
      <c r="I11" s="154">
        <f>H11/'7-الخواص الهندسية الصافية'!P26</f>
        <v>26046.06594185808</v>
      </c>
    </row>
    <row r="12" spans="1:9" x14ac:dyDescent="0.25">
      <c r="A12" s="249">
        <f t="shared" si="2"/>
        <v>26830.769990412038</v>
      </c>
      <c r="B12" s="140">
        <f t="shared" si="4"/>
        <v>3</v>
      </c>
      <c r="C12" s="305">
        <f>C11-'[2]0- المعطيات'!$K$16</f>
        <v>12</v>
      </c>
      <c r="D12" s="152">
        <f>($F$3*'0- المعطيات'!$K$10/2*C12)-($F$3*C12*C12/2)</f>
        <v>2014.7513400000005</v>
      </c>
      <c r="E12" s="152">
        <f>($F$4*'0- المعطيات'!$K$10/2*C12)-($F$4*C12*C12/2)</f>
        <v>756</v>
      </c>
      <c r="F12" s="153">
        <f>($F$5*'0- المعطيات'!$K$10/2*C12)-($F$5*C12*C12/2)</f>
        <v>1620</v>
      </c>
      <c r="G12" s="152">
        <f t="shared" si="1"/>
        <v>4390.7513400000007</v>
      </c>
      <c r="H12" s="152">
        <f t="shared" si="3"/>
        <v>7072.1270100000002</v>
      </c>
      <c r="I12" s="154">
        <f>H12/'7-الخواص الهندسية الصافية'!P27</f>
        <v>26830.769990412038</v>
      </c>
    </row>
    <row r="13" spans="1:9" x14ac:dyDescent="0.25">
      <c r="A13" s="249">
        <f t="shared" si="2"/>
        <v>27420.489536161727</v>
      </c>
      <c r="B13" s="140">
        <f t="shared" si="4"/>
        <v>4</v>
      </c>
      <c r="C13" s="305">
        <f>C12-'[2]0- المعطيات'!$K$16</f>
        <v>11</v>
      </c>
      <c r="D13" s="152">
        <f>($F$3*'0- المعطيات'!$K$10/2*C13)-($F$3*C13*C13/2)</f>
        <v>1949.4584725000004</v>
      </c>
      <c r="E13" s="152">
        <f>($F$4*'0- المعطيات'!$K$10/2*C13)-($F$4*C13*C13/2)</f>
        <v>731.5</v>
      </c>
      <c r="F13" s="153">
        <f>($F$5*'0- المعطيات'!$K$10/2*C13)-($F$5*C13*C13/2)</f>
        <v>1567.5</v>
      </c>
      <c r="G13" s="152">
        <f t="shared" si="1"/>
        <v>4248.4584725000004</v>
      </c>
      <c r="H13" s="152">
        <f t="shared" si="3"/>
        <v>6842.9377087500006</v>
      </c>
      <c r="I13" s="154">
        <f>H13/'7-الخواص الهندسية الصافية'!P28</f>
        <v>27420.489536161727</v>
      </c>
    </row>
    <row r="14" spans="1:9" x14ac:dyDescent="0.25">
      <c r="A14" s="249">
        <f t="shared" si="2"/>
        <v>27777.641463261709</v>
      </c>
      <c r="B14" s="140">
        <f t="shared" si="4"/>
        <v>5</v>
      </c>
      <c r="C14" s="305">
        <f>C13-'[2]0- المعطيات'!$K$16</f>
        <v>10</v>
      </c>
      <c r="D14" s="152">
        <f>($F$3*'0- المعطيات'!$K$10/2*C14)-($F$3*C14*C14/2)</f>
        <v>1865.5105000000003</v>
      </c>
      <c r="E14" s="152">
        <f>($F$4*'0- المعطيات'!$K$10/2*C14)-($F$4*C14*C14/2)</f>
        <v>700</v>
      </c>
      <c r="F14" s="153">
        <f>($F$5*'0- المعطيات'!$K$10/2*C14)-($F$5*C14*C14/2)</f>
        <v>1500</v>
      </c>
      <c r="G14" s="152">
        <f t="shared" si="1"/>
        <v>4065.5105000000003</v>
      </c>
      <c r="H14" s="152">
        <f t="shared" si="3"/>
        <v>6548.2657500000005</v>
      </c>
      <c r="I14" s="154">
        <f>H14/'7-الخواص الهندسية الصافية'!P29</f>
        <v>27777.641463261709</v>
      </c>
    </row>
    <row r="15" spans="1:9" x14ac:dyDescent="0.25">
      <c r="A15" s="249">
        <f t="shared" si="2"/>
        <v>27856.023522785425</v>
      </c>
      <c r="B15" s="140">
        <f t="shared" si="4"/>
        <v>6</v>
      </c>
      <c r="C15" s="305">
        <f>C14-'[2]0- المعطيات'!$K$16</f>
        <v>9</v>
      </c>
      <c r="D15" s="152">
        <f>($F$3*'0- المعطيات'!$K$10/2*C15)-($F$3*C15*C15/2)</f>
        <v>1762.9074225000004</v>
      </c>
      <c r="E15" s="152">
        <f>($F$4*'0- المعطيات'!$K$10/2*C15)-($F$4*C15*C15/2)</f>
        <v>661.5</v>
      </c>
      <c r="F15" s="153">
        <f>($F$5*'0- المعطيات'!$K$10/2*C15)-($F$5*C15*C15/2)</f>
        <v>1417.5</v>
      </c>
      <c r="G15" s="152">
        <f t="shared" si="1"/>
        <v>3841.9074225000004</v>
      </c>
      <c r="H15" s="152">
        <f t="shared" si="3"/>
        <v>6188.1111337500006</v>
      </c>
      <c r="I15" s="154">
        <f>H15/'7-الخواص الهندسية الصافية'!P30</f>
        <v>27856.023522785425</v>
      </c>
    </row>
    <row r="16" spans="1:9" x14ac:dyDescent="0.25">
      <c r="A16" s="249">
        <f t="shared" si="2"/>
        <v>27598.531822822362</v>
      </c>
      <c r="B16" s="140">
        <f t="shared" si="4"/>
        <v>7</v>
      </c>
      <c r="C16" s="305">
        <f>C15-'[2]0- المعطيات'!$K$16</f>
        <v>8</v>
      </c>
      <c r="D16" s="152">
        <f>($F$3*'0- المعطيات'!$K$10/2*C16)-($F$3*C16*C16/2)</f>
        <v>1641.6492400000002</v>
      </c>
      <c r="E16" s="152">
        <f>($F$4*'0- المعطيات'!$K$10/2*C16)-($F$4*C16*C16/2)</f>
        <v>616</v>
      </c>
      <c r="F16" s="153">
        <f>($F$5*'0- المعطيات'!$K$10/2*C16)-($F$5*C16*C16/2)</f>
        <v>1320</v>
      </c>
      <c r="G16" s="152">
        <f t="shared" si="1"/>
        <v>3577.6492400000002</v>
      </c>
      <c r="H16" s="152">
        <f t="shared" si="3"/>
        <v>5762.4738600000001</v>
      </c>
      <c r="I16" s="154">
        <f>H16/'7-الخواص الهندسية الصافية'!P31</f>
        <v>27598.531822822362</v>
      </c>
    </row>
    <row r="17" spans="1:9" x14ac:dyDescent="0.25">
      <c r="A17" s="249">
        <f t="shared" si="2"/>
        <v>26934.268074298023</v>
      </c>
      <c r="B17" s="140">
        <f t="shared" si="4"/>
        <v>8</v>
      </c>
      <c r="C17" s="305">
        <f>C16-'[2]0- المعطيات'!$K$16</f>
        <v>7</v>
      </c>
      <c r="D17" s="152">
        <f>($F$3*'0- المعطيات'!$K$10/2*C17)-($F$3*C17*C17/2)</f>
        <v>1501.7359525000002</v>
      </c>
      <c r="E17" s="152">
        <f>($F$4*'0- المعطيات'!$K$10/2*C17)-($F$4*C17*C17/2)</f>
        <v>563.5</v>
      </c>
      <c r="F17" s="153">
        <f>($F$5*'0- المعطيات'!$K$10/2*C17)-($F$5*C17*C17/2)</f>
        <v>1207.5</v>
      </c>
      <c r="G17" s="152">
        <f t="shared" si="1"/>
        <v>3272.7359525000002</v>
      </c>
      <c r="H17" s="152">
        <f t="shared" si="3"/>
        <v>5271.3539287500007</v>
      </c>
      <c r="I17" s="154">
        <f>H17/'7-الخواص الهندسية الصافية'!P32</f>
        <v>26934.268074298023</v>
      </c>
    </row>
    <row r="18" spans="1:9" x14ac:dyDescent="0.25">
      <c r="A18" s="249">
        <f t="shared" si="2"/>
        <v>25774.907251372799</v>
      </c>
      <c r="B18" s="140">
        <f t="shared" si="4"/>
        <v>9</v>
      </c>
      <c r="C18" s="305">
        <f>C17-'[2]0- المعطيات'!$K$16</f>
        <v>6</v>
      </c>
      <c r="D18" s="152">
        <f>($F$3*'0- المعطيات'!$K$10/2*C18)-($F$3*C18*C18/2)</f>
        <v>1343.1675600000003</v>
      </c>
      <c r="E18" s="152">
        <f>($F$4*'0- المعطيات'!$K$10/2*C18)-($F$4*C18*C18/2)</f>
        <v>504</v>
      </c>
      <c r="F18" s="153">
        <f>($F$5*'0- المعطيات'!$K$10/2*C18)-($F$5*C18*C18/2)</f>
        <v>1080</v>
      </c>
      <c r="G18" s="152">
        <f t="shared" si="1"/>
        <v>2927.1675600000003</v>
      </c>
      <c r="H18" s="152">
        <f t="shared" si="3"/>
        <v>4714.7513400000007</v>
      </c>
      <c r="I18" s="154">
        <f>H18/'7-الخواص الهندسية الصافية'!P33</f>
        <v>25774.907251372799</v>
      </c>
    </row>
    <row r="19" spans="1:9" x14ac:dyDescent="0.25">
      <c r="A19" s="249">
        <f t="shared" si="2"/>
        <v>24010.211053720985</v>
      </c>
      <c r="B19" s="140">
        <f t="shared" si="4"/>
        <v>10</v>
      </c>
      <c r="C19" s="305">
        <f>C18-'[2]0- المعطيات'!$K$16</f>
        <v>5</v>
      </c>
      <c r="D19" s="152">
        <f>($F$3*'0- المعطيات'!$K$10/2*C19)-($F$3*C19*C19/2)</f>
        <v>1165.9440625000002</v>
      </c>
      <c r="E19" s="152">
        <f>($F$4*'0- المعطيات'!$K$10/2*C19)-($F$4*C19*C19/2)</f>
        <v>437.5</v>
      </c>
      <c r="F19" s="153">
        <f>($F$5*'0- المعطيات'!$K$10/2*C19)-($F$5*C19*C19/2)</f>
        <v>937.5</v>
      </c>
      <c r="G19" s="152">
        <f t="shared" si="1"/>
        <v>2540.9440625000002</v>
      </c>
      <c r="H19" s="152">
        <f t="shared" si="3"/>
        <v>4092.6660937500001</v>
      </c>
      <c r="I19" s="154">
        <f>H19/'7-الخواص الهندسية الصافية'!P34</f>
        <v>24010.211053720985</v>
      </c>
    </row>
    <row r="20" spans="1:9" x14ac:dyDescent="0.25">
      <c r="A20" s="249">
        <f t="shared" si="2"/>
        <v>21502.64233748558</v>
      </c>
      <c r="B20" s="140">
        <f t="shared" si="4"/>
        <v>11</v>
      </c>
      <c r="C20" s="305">
        <f>C19-'[2]0- المعطيات'!$K$16</f>
        <v>4</v>
      </c>
      <c r="D20" s="152">
        <f>($F$3*'0- المعطيات'!$K$10/2*C20)-($F$3*C20*C20/2)</f>
        <v>970.06546000000014</v>
      </c>
      <c r="E20" s="152">
        <f>($F$4*'0- المعطيات'!$K$10/2*C20)-($F$4*C20*C20/2)</f>
        <v>364</v>
      </c>
      <c r="F20" s="153">
        <f>($F$5*'0- المعطيات'!$K$10/2*C20)-($F$5*C20*C20/2)</f>
        <v>780</v>
      </c>
      <c r="G20" s="152">
        <f t="shared" si="1"/>
        <v>2114.0654600000003</v>
      </c>
      <c r="H20" s="152">
        <f t="shared" si="3"/>
        <v>3405.0981900000002</v>
      </c>
      <c r="I20" s="154">
        <f>H20/'7-الخواص الهندسية الصافية'!P35</f>
        <v>21502.64233748558</v>
      </c>
    </row>
    <row r="21" spans="1:9" x14ac:dyDescent="0.25">
      <c r="A21" s="249">
        <f t="shared" si="2"/>
        <v>16759.439167440127</v>
      </c>
      <c r="B21" s="140">
        <f t="shared" si="4"/>
        <v>12</v>
      </c>
      <c r="C21" s="305">
        <f>C20-'[2]0- المعطيات'!$K$16</f>
        <v>3</v>
      </c>
      <c r="D21" s="152">
        <f>($F$3*'0- المعطيات'!$K$10/2*C21)-($F$3*C21*C21/2)</f>
        <v>755.53175250000015</v>
      </c>
      <c r="E21" s="152">
        <f>($F$4*'0- المعطيات'!$K$10/2*C21)-($F$4*C21*C21/2)</f>
        <v>283.5</v>
      </c>
      <c r="F21" s="153">
        <f>($F$5*'0- المعطيات'!$K$10/2*C21)-($F$5*C21*C21/2)</f>
        <v>607.5</v>
      </c>
      <c r="G21" s="152">
        <f t="shared" si="1"/>
        <v>1646.5317525</v>
      </c>
      <c r="H21" s="152">
        <f t="shared" si="3"/>
        <v>2652.0476287500005</v>
      </c>
      <c r="I21" s="154">
        <f>H21/'7-الخواص الهندسية الصافية'!P36</f>
        <v>16759.439167440127</v>
      </c>
    </row>
    <row r="22" spans="1:9" x14ac:dyDescent="0.25">
      <c r="A22" s="249">
        <f t="shared" si="2"/>
        <v>11203.87918297639</v>
      </c>
      <c r="B22" s="140">
        <f t="shared" si="4"/>
        <v>13</v>
      </c>
      <c r="C22" s="305">
        <f>C21-'[2]0- المعطيات'!$K$16</f>
        <v>2</v>
      </c>
      <c r="D22" s="152">
        <f>($F$3*'0- المعطيات'!$K$10/2*C22)-($F$3*C22*C22/2)</f>
        <v>522.34294000000011</v>
      </c>
      <c r="E22" s="152">
        <f>($F$4*'0- المعطيات'!$K$10/2*C22)-($F$4*C22*C22/2)</f>
        <v>196</v>
      </c>
      <c r="F22" s="153">
        <f>($F$5*'0- المعطيات'!$K$10/2*C22)-($F$5*C22*C22/2)</f>
        <v>420</v>
      </c>
      <c r="G22" s="152">
        <f t="shared" si="1"/>
        <v>1138.34294</v>
      </c>
      <c r="H22" s="152">
        <f t="shared" si="3"/>
        <v>1833.5144100000002</v>
      </c>
      <c r="I22" s="154">
        <f>H22/'7-الخواص الهندسية الصافية'!P37</f>
        <v>11203.87918297639</v>
      </c>
    </row>
    <row r="23" spans="1:9" x14ac:dyDescent="0.25">
      <c r="A23" s="249">
        <f t="shared" si="2"/>
        <v>5699.1070269724569</v>
      </c>
      <c r="B23" s="140">
        <f t="shared" si="4"/>
        <v>14</v>
      </c>
      <c r="C23" s="305">
        <f>C22-'[2]0- المعطيات'!$K$16</f>
        <v>1</v>
      </c>
      <c r="D23" s="152">
        <f>($F$3*'0- المعطيات'!$K$10/2*C23)-($F$3*C23*C23/2)</f>
        <v>270.49902250000002</v>
      </c>
      <c r="E23" s="152">
        <f>($F$4*'0- المعطيات'!$K$10/2*C23)-($F$4*C23*C23/2)</f>
        <v>101.5</v>
      </c>
      <c r="F23" s="153">
        <f>($F$5*'0- المعطيات'!$K$10/2*C23)-($F$5*C23*C23/2)</f>
        <v>217.5</v>
      </c>
      <c r="G23" s="152">
        <f t="shared" si="1"/>
        <v>589.49902250000002</v>
      </c>
      <c r="H23" s="152">
        <f t="shared" si="3"/>
        <v>949.49853374999998</v>
      </c>
      <c r="I23" s="154">
        <f>H23/'7-الخواص الهندسية الصافية'!P38</f>
        <v>5699.1070269724569</v>
      </c>
    </row>
    <row r="24" spans="1:9" x14ac:dyDescent="0.25">
      <c r="A24" s="249">
        <f t="shared" si="2"/>
        <v>0</v>
      </c>
      <c r="B24" s="140">
        <f t="shared" si="4"/>
        <v>15</v>
      </c>
      <c r="C24" s="305">
        <f>C23-'[2]0- المعطيات'!$K$16</f>
        <v>0</v>
      </c>
      <c r="D24" s="152">
        <f>($F$3*'0- المعطيات'!$K$10/2*C24)-($F$3*C24*C24/2)</f>
        <v>0</v>
      </c>
      <c r="E24" s="152">
        <f>($F$4*'0- المعطيات'!$K$10/2*C24)-($F$4*C24*C24/2)</f>
        <v>0</v>
      </c>
      <c r="F24" s="153">
        <f>($F$5*'0- المعطيات'!$K$10/2*C24)-($F$5*C24*C24/2)</f>
        <v>0</v>
      </c>
      <c r="G24" s="152">
        <f t="shared" si="1"/>
        <v>0</v>
      </c>
      <c r="H24" s="152">
        <f t="shared" si="3"/>
        <v>0</v>
      </c>
      <c r="I24" s="154">
        <f>H24/'7-الخواص الهندسية الصافية'!P39</f>
        <v>0</v>
      </c>
    </row>
    <row r="25" spans="1:9" ht="39.75" customHeight="1" thickBot="1" x14ac:dyDescent="0.3">
      <c r="B25" s="141" t="s">
        <v>35</v>
      </c>
      <c r="C25" s="151">
        <f>'0- المعطيات'!C8</f>
        <v>3.5999999999999996</v>
      </c>
      <c r="D25" s="155">
        <f>($F$3*'0- المعطيات'!$K$10/2*C25)-($F$3*C25*C25/2)</f>
        <v>886.49058960000013</v>
      </c>
      <c r="E25" s="155">
        <f>($F$4*'0- المعطيات'!$K$10/2*C25)-($F$4*C25*C25/2)</f>
        <v>332.64</v>
      </c>
      <c r="F25" s="156">
        <f>($F$5*'0- المعطيات'!$K$10/2*C25)-($F$5*C25*C25/2)</f>
        <v>712.8</v>
      </c>
      <c r="G25" s="155">
        <f t="shared" si="1"/>
        <v>1931.9305896000001</v>
      </c>
      <c r="H25" s="155">
        <f t="shared" si="3"/>
        <v>3111.7358844</v>
      </c>
      <c r="I25" s="157">
        <f>H25/'7-الخواص الهندسية الصافية'!P40</f>
        <v>18648.64685476958</v>
      </c>
    </row>
    <row r="26" spans="1:9" ht="21" thickBot="1" x14ac:dyDescent="0.3"/>
    <row r="27" spans="1:9" ht="27" customHeight="1" thickBot="1" x14ac:dyDescent="0.3">
      <c r="B27" s="266" t="s">
        <v>357</v>
      </c>
      <c r="C27" s="259">
        <f>VLOOKUP(MAX(A9:A24),A9:B25,2,FALSE)</f>
        <v>6</v>
      </c>
    </row>
    <row r="29" spans="1:9" ht="21" thickBot="1" x14ac:dyDescent="0.3"/>
    <row r="30" spans="1:9" ht="27.75" thickBot="1" x14ac:dyDescent="0.3">
      <c r="B30" s="460" t="s">
        <v>395</v>
      </c>
      <c r="C30" s="461"/>
      <c r="D30" s="461"/>
      <c r="E30" s="461"/>
      <c r="F30" s="461"/>
      <c r="G30" s="461"/>
      <c r="H30" s="462"/>
    </row>
    <row r="31" spans="1:9" x14ac:dyDescent="0.25">
      <c r="B31" s="113" t="s">
        <v>146</v>
      </c>
      <c r="C31" s="487" t="s">
        <v>42</v>
      </c>
      <c r="D31" s="488"/>
      <c r="E31" s="116" t="s">
        <v>125</v>
      </c>
      <c r="F31" s="487" t="s">
        <v>38</v>
      </c>
      <c r="G31" s="488"/>
      <c r="H31" s="117" t="s">
        <v>122</v>
      </c>
    </row>
    <row r="32" spans="1:9" x14ac:dyDescent="0.25">
      <c r="B32" s="143" t="s">
        <v>41</v>
      </c>
      <c r="C32" s="144">
        <f>E32*F32</f>
        <v>27.00866984990288</v>
      </c>
      <c r="D32" s="145" t="s">
        <v>140</v>
      </c>
      <c r="E32" s="36">
        <v>1.5</v>
      </c>
      <c r="F32" s="137">
        <f>AVERAGE('7-الخواص الهندسية الصافية'!J4:J19)*25</f>
        <v>18.005779899935252</v>
      </c>
      <c r="G32" s="145" t="s">
        <v>141</v>
      </c>
      <c r="H32" s="308" t="s">
        <v>126</v>
      </c>
    </row>
    <row r="33" spans="2:7" ht="21" thickBot="1" x14ac:dyDescent="0.3"/>
    <row r="34" spans="2:7" x14ac:dyDescent="0.25">
      <c r="B34" s="113" t="s">
        <v>43</v>
      </c>
      <c r="C34" s="116" t="s">
        <v>44</v>
      </c>
      <c r="D34" s="117" t="s">
        <v>131</v>
      </c>
    </row>
    <row r="35" spans="2:7" x14ac:dyDescent="0.25">
      <c r="B35" s="140">
        <f>0</f>
        <v>0</v>
      </c>
      <c r="C35" s="354">
        <f>B50</f>
        <v>15</v>
      </c>
      <c r="D35" s="154">
        <f>($F$32*'0- المعطيات'!$K$10/2*C35)-($F$32*C35*C35/2)</f>
        <v>2025.6502387427158</v>
      </c>
    </row>
    <row r="36" spans="2:7" x14ac:dyDescent="0.25">
      <c r="B36" s="140">
        <f>B35+1</f>
        <v>1</v>
      </c>
      <c r="C36" s="354">
        <f>C35-'[2]0- المعطيات'!$K$16</f>
        <v>14</v>
      </c>
      <c r="D36" s="154">
        <f>($F$32*'0- المعطيات'!$K$10/2*C36)-($F$32*C36*C36/2)</f>
        <v>2016.6473487927481</v>
      </c>
    </row>
    <row r="37" spans="2:7" x14ac:dyDescent="0.25">
      <c r="B37" s="140">
        <f t="shared" ref="B37:B50" si="5">B36+1</f>
        <v>2</v>
      </c>
      <c r="C37" s="354">
        <f>C36-'[2]0- المعطيات'!$K$16</f>
        <v>13</v>
      </c>
      <c r="D37" s="154">
        <f>($F$32*'0- المعطيات'!$K$10/2*C37)-($F$32*C37*C37/2)</f>
        <v>1989.6386789428454</v>
      </c>
    </row>
    <row r="38" spans="2:7" x14ac:dyDescent="0.25">
      <c r="B38" s="140">
        <f t="shared" si="5"/>
        <v>3</v>
      </c>
      <c r="C38" s="354">
        <f>C37-'[2]0- المعطيات'!$K$16</f>
        <v>12</v>
      </c>
      <c r="D38" s="154">
        <f>($F$32*'0- المعطيات'!$K$10/2*C38)-($F$32*C38*C38/2)</f>
        <v>1944.6242291930071</v>
      </c>
    </row>
    <row r="39" spans="2:7" x14ac:dyDescent="0.25">
      <c r="B39" s="140">
        <f t="shared" si="5"/>
        <v>4</v>
      </c>
      <c r="C39" s="354">
        <f>C38-'[2]0- المعطيات'!$K$16</f>
        <v>11</v>
      </c>
      <c r="D39" s="154">
        <f>($F$32*'0- المعطيات'!$K$10/2*C39)-($F$32*C39*C39/2)</f>
        <v>1881.6039995432338</v>
      </c>
      <c r="G39" s="247"/>
    </row>
    <row r="40" spans="2:7" x14ac:dyDescent="0.25">
      <c r="B40" s="140">
        <f t="shared" si="5"/>
        <v>5</v>
      </c>
      <c r="C40" s="354">
        <f>C39-'[2]0- المعطيات'!$K$16</f>
        <v>10</v>
      </c>
      <c r="D40" s="154">
        <f>($F$32*'0- المعطيات'!$K$10/2*C40)-($F$32*C40*C40/2)</f>
        <v>1800.5779899935255</v>
      </c>
    </row>
    <row r="41" spans="2:7" x14ac:dyDescent="0.25">
      <c r="B41" s="140">
        <f t="shared" si="5"/>
        <v>6</v>
      </c>
      <c r="C41" s="354">
        <f>C40-'[2]0- المعطيات'!$K$16</f>
        <v>9</v>
      </c>
      <c r="D41" s="154">
        <f>($F$32*'0- المعطيات'!$K$10/2*C41)-($F$32*C41*C41/2)</f>
        <v>1701.5462005438815</v>
      </c>
    </row>
    <row r="42" spans="2:7" x14ac:dyDescent="0.25">
      <c r="B42" s="140">
        <f t="shared" si="5"/>
        <v>7</v>
      </c>
      <c r="C42" s="354">
        <f>C41-'[2]0- المعطيات'!$K$16</f>
        <v>8</v>
      </c>
      <c r="D42" s="154">
        <f>($F$32*'0- المعطيات'!$K$10/2*C42)-($F$32*C42*C42/2)</f>
        <v>1584.5086311943023</v>
      </c>
    </row>
    <row r="43" spans="2:7" x14ac:dyDescent="0.25">
      <c r="B43" s="140">
        <f t="shared" si="5"/>
        <v>8</v>
      </c>
      <c r="C43" s="354">
        <f>C42-'[2]0- المعطيات'!$K$16</f>
        <v>7</v>
      </c>
      <c r="D43" s="154">
        <f>($F$32*'0- المعطيات'!$K$10/2*C43)-($F$32*C43*C43/2)</f>
        <v>1449.4652819447876</v>
      </c>
    </row>
    <row r="44" spans="2:7" x14ac:dyDescent="0.25">
      <c r="B44" s="140">
        <f t="shared" si="5"/>
        <v>9</v>
      </c>
      <c r="C44" s="354">
        <f>C43-'[2]0- المعطيات'!$K$16</f>
        <v>6</v>
      </c>
      <c r="D44" s="154">
        <f>($F$32*'0- المعطيات'!$K$10/2*C44)-($F$32*C44*C44/2)</f>
        <v>1296.4161527953381</v>
      </c>
    </row>
    <row r="45" spans="2:7" x14ac:dyDescent="0.25">
      <c r="B45" s="140">
        <f t="shared" si="5"/>
        <v>10</v>
      </c>
      <c r="C45" s="354">
        <f>C44-'[2]0- المعطيات'!$K$16</f>
        <v>5</v>
      </c>
      <c r="D45" s="154">
        <f>($F$32*'0- المعطيات'!$K$10/2*C45)-($F$32*C45*C45/2)</f>
        <v>1125.3612437459533</v>
      </c>
    </row>
    <row r="46" spans="2:7" x14ac:dyDescent="0.25">
      <c r="B46" s="140">
        <f t="shared" si="5"/>
        <v>11</v>
      </c>
      <c r="C46" s="354">
        <f>C45-'[2]0- المعطيات'!$K$16</f>
        <v>4</v>
      </c>
      <c r="D46" s="154">
        <f>($F$32*'0- المعطيات'!$K$10/2*C46)-($F$32*C46*C46/2)</f>
        <v>936.30055479663315</v>
      </c>
    </row>
    <row r="47" spans="2:7" x14ac:dyDescent="0.25">
      <c r="B47" s="140">
        <f t="shared" si="5"/>
        <v>12</v>
      </c>
      <c r="C47" s="354">
        <f>C46-'[2]0- المعطيات'!$K$16</f>
        <v>3</v>
      </c>
      <c r="D47" s="154">
        <f>($F$32*'0- المعطيات'!$K$10/2*C47)-($F$32*C47*C47/2)</f>
        <v>729.23408594737771</v>
      </c>
    </row>
    <row r="48" spans="2:7" x14ac:dyDescent="0.25">
      <c r="B48" s="140">
        <f t="shared" si="5"/>
        <v>13</v>
      </c>
      <c r="C48" s="354">
        <f>C47-'[2]0- المعطيات'!$K$16</f>
        <v>2</v>
      </c>
      <c r="D48" s="154">
        <f>($F$32*'0- المعطيات'!$K$10/2*C48)-($F$32*C48*C48/2)</f>
        <v>504.16183719818707</v>
      </c>
    </row>
    <row r="49" spans="2:4" x14ac:dyDescent="0.25">
      <c r="B49" s="140">
        <f t="shared" si="5"/>
        <v>14</v>
      </c>
      <c r="C49" s="354">
        <f>C48-'[2]0- المعطيات'!$K$16</f>
        <v>1</v>
      </c>
      <c r="D49" s="154">
        <f>($F$32*'0- المعطيات'!$K$10/2*C49)-($F$32*C49*C49/2)</f>
        <v>261.08380854906113</v>
      </c>
    </row>
    <row r="50" spans="2:4" x14ac:dyDescent="0.25">
      <c r="B50" s="140">
        <f t="shared" si="5"/>
        <v>15</v>
      </c>
      <c r="C50" s="354">
        <f>C49-'[2]0- المعطيات'!$K$16</f>
        <v>0</v>
      </c>
      <c r="D50" s="154">
        <f>($F$32*'0- المعطيات'!$K$10/2*C50)-($F$32*C50*C50/2)</f>
        <v>0</v>
      </c>
    </row>
    <row r="51" spans="2:4" ht="41.25" thickBot="1" x14ac:dyDescent="0.3">
      <c r="B51" s="141" t="s">
        <v>35</v>
      </c>
      <c r="C51" s="151">
        <f>C25</f>
        <v>3.5999999999999996</v>
      </c>
      <c r="D51" s="157">
        <f>($F$32*'0- المعطيات'!$K$10/2*C51)-($F$32*C51*C51/2)</f>
        <v>855.63466084492313</v>
      </c>
    </row>
  </sheetData>
  <mergeCells count="6">
    <mergeCell ref="B1:H1"/>
    <mergeCell ref="C2:D2"/>
    <mergeCell ref="F2:G2"/>
    <mergeCell ref="B30:H30"/>
    <mergeCell ref="C31:D31"/>
    <mergeCell ref="F31:G31"/>
  </mergeCells>
  <pageMargins left="0.7" right="0.7" top="0.75" bottom="0.75" header="0.3" footer="0.3"/>
  <pageSetup paperSize="9" orientation="portrait" horizontalDpi="1200" verticalDpi="12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37"/>
  <sheetViews>
    <sheetView showGridLines="0" zoomScale="90" zoomScaleNormal="90" workbookViewId="0">
      <selection sqref="A1:M19"/>
    </sheetView>
  </sheetViews>
  <sheetFormatPr defaultColWidth="9" defaultRowHeight="20.25" x14ac:dyDescent="0.25"/>
  <cols>
    <col min="1" max="2" width="9" style="102"/>
    <col min="3" max="3" width="14" style="102" customWidth="1"/>
    <col min="4" max="4" width="14.85546875" style="102" customWidth="1"/>
    <col min="5" max="5" width="13.42578125" style="102" customWidth="1"/>
    <col min="6" max="6" width="12.85546875" style="102" customWidth="1"/>
    <col min="7" max="7" width="11.42578125" style="102" customWidth="1"/>
    <col min="8" max="8" width="15.140625" style="102" customWidth="1"/>
    <col min="9" max="9" width="9" style="102" hidden="1" customWidth="1"/>
    <col min="10" max="10" width="12.85546875" style="102" customWidth="1"/>
    <col min="11" max="11" width="9" style="102"/>
    <col min="12" max="12" width="11.7109375" style="102" customWidth="1"/>
    <col min="13" max="16384" width="9" style="102"/>
  </cols>
  <sheetData>
    <row r="1" spans="1:13" ht="27.75" thickBot="1" x14ac:dyDescent="0.3">
      <c r="A1" s="460" t="s">
        <v>392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</row>
    <row r="2" spans="1:13" ht="20.25" customHeight="1" x14ac:dyDescent="0.25">
      <c r="A2" s="463" t="s">
        <v>28</v>
      </c>
      <c r="B2" s="465" t="s">
        <v>133</v>
      </c>
      <c r="C2" s="465" t="s">
        <v>168</v>
      </c>
      <c r="D2" s="465" t="s">
        <v>169</v>
      </c>
      <c r="E2" s="465" t="s">
        <v>170</v>
      </c>
      <c r="F2" s="465" t="s">
        <v>171</v>
      </c>
      <c r="G2" s="465" t="s">
        <v>172</v>
      </c>
      <c r="H2" s="465" t="s">
        <v>131</v>
      </c>
      <c r="I2" s="471" t="s">
        <v>128</v>
      </c>
      <c r="J2" s="467" t="s">
        <v>134</v>
      </c>
      <c r="K2" s="468"/>
      <c r="L2" s="468"/>
      <c r="M2" s="470"/>
    </row>
    <row r="3" spans="1:13" ht="40.5" x14ac:dyDescent="0.25">
      <c r="A3" s="464"/>
      <c r="B3" s="466"/>
      <c r="C3" s="466"/>
      <c r="D3" s="466"/>
      <c r="E3" s="466"/>
      <c r="F3" s="466"/>
      <c r="G3" s="466"/>
      <c r="H3" s="466"/>
      <c r="I3" s="472"/>
      <c r="J3" s="182" t="s">
        <v>136</v>
      </c>
      <c r="K3" s="182" t="s">
        <v>137</v>
      </c>
      <c r="L3" s="182" t="s">
        <v>138</v>
      </c>
      <c r="M3" s="183" t="s">
        <v>137</v>
      </c>
    </row>
    <row r="4" spans="1:13" x14ac:dyDescent="0.25">
      <c r="A4" s="184">
        <v>0</v>
      </c>
      <c r="B4" s="185">
        <f>'7-الخواص الهندسية الصافية'!J4</f>
        <v>0.83460619599741015</v>
      </c>
      <c r="C4" s="185">
        <f>'7-الخواص الهندسية الصافية'!N4</f>
        <v>0.311423189411002</v>
      </c>
      <c r="D4" s="185">
        <f>'7-الخواص الهندسية الصافية'!O4</f>
        <v>0.27171297786090337</v>
      </c>
      <c r="E4" s="185">
        <f>'7-الخواص الهندسية الصافية'!L4</f>
        <v>1.0680976653118182</v>
      </c>
      <c r="F4" s="185">
        <f>'3- مسار الكابل'!C10</f>
        <v>0.15</v>
      </c>
      <c r="G4" s="185">
        <f>E4-F4</f>
        <v>0.91809766531181813</v>
      </c>
      <c r="H4" s="185">
        <f>'7-الحمولات الجديدة'!D35</f>
        <v>2025.6502387427158</v>
      </c>
      <c r="I4" s="185">
        <f>'2-تحديد الحمولات'!F9</f>
        <v>4543.9453125</v>
      </c>
      <c r="J4" s="186">
        <f>(-'4 - حساب قوة سبق الاجهاد'!$G$35/B4+'4 - حساب قوة سبق الاجهاد'!$G$35*G4/C4-H4/C4)/1000</f>
        <v>1.3695570726252517</v>
      </c>
      <c r="K4" s="187" t="str">
        <f>IF(4&gt;J4,IF(J4&lt;'0- المعطيات'!$I$28,"OK"),"Not OK")</f>
        <v>OK</v>
      </c>
      <c r="L4" s="186">
        <f>(-'4 - حساب قوة سبق الاجهاد'!$G$35/B4-'4 - حساب قوة سبق الاجهاد'!$G$35*G4/D4+H4/D4)/1000</f>
        <v>-13.140496561270757</v>
      </c>
      <c r="M4" s="188" t="str">
        <f>IF(4&gt;L4,IF(L4&gt;='0- المعطيات'!$I$27,"OK"),"Not OK")</f>
        <v>OK</v>
      </c>
    </row>
    <row r="5" spans="1:13" x14ac:dyDescent="0.25">
      <c r="A5" s="184">
        <v>1</v>
      </c>
      <c r="B5" s="185">
        <f>'7-الخواص الهندسية الصافية'!J5</f>
        <v>0.81460619599741013</v>
      </c>
      <c r="C5" s="185">
        <f>'7-الخواص الهندسية الصافية'!N5</f>
        <v>0.29691913918841117</v>
      </c>
      <c r="D5" s="185">
        <f>'7-الخواص الهندسية الصافية'!L5</f>
        <v>1.0427227727244539</v>
      </c>
      <c r="E5" s="185">
        <f>'7-الخواص الهندسية الصافية'!L5</f>
        <v>1.0427227727244539</v>
      </c>
      <c r="F5" s="185">
        <f>'3- مسار الكابل'!C11</f>
        <v>0.15211111111111111</v>
      </c>
      <c r="G5" s="185">
        <f t="shared" ref="G5:G19" si="0">E5-F5</f>
        <v>0.89061166161334282</v>
      </c>
      <c r="H5" s="185">
        <f>'7-الحمولات الجديدة'!D36</f>
        <v>2016.6473487927481</v>
      </c>
      <c r="I5" s="185">
        <f>'2-تحديد الحمولات'!F10</f>
        <v>4523.75</v>
      </c>
      <c r="J5" s="186">
        <f>(-'4 - حساب قوة سبق الاجهاد'!$G$35/B5+'4 - حساب قوة سبق الاجهاد'!$G$35*G5/C5-H5/C5)/1000</f>
        <v>1.1812314618645532</v>
      </c>
      <c r="K5" s="187" t="str">
        <f>IF(4&gt;J5,IF(J5&lt;'0- المعطيات'!$I$28,"OK"),"Not OK")</f>
        <v>OK</v>
      </c>
      <c r="L5" s="186">
        <f>(-'4 - حساب قوة سبق الاجهاد'!$G$35/B5-'4 - حساب قوة سبق الاجهاد'!$G$35*G5/D5+H5/D5)/1000</f>
        <v>-7.4330670277168744</v>
      </c>
      <c r="M5" s="188" t="str">
        <f>IF(4&gt;L5,IF(L5&gt;='0- المعطيات'!$I$27,"OK"),"Not OK")</f>
        <v>OK</v>
      </c>
    </row>
    <row r="6" spans="1:13" x14ac:dyDescent="0.25">
      <c r="A6" s="184">
        <v>2</v>
      </c>
      <c r="B6" s="185">
        <f>'7-الخواص الهندسية الصافية'!J6</f>
        <v>0.79460619599741011</v>
      </c>
      <c r="C6" s="185">
        <f>'7-الخواص الهندسية الصافية'!N6</f>
        <v>0.28284985359469694</v>
      </c>
      <c r="D6" s="185">
        <f>'7-الخواص الهندسية الصافية'!L6</f>
        <v>1.017247211698759</v>
      </c>
      <c r="E6" s="185">
        <f>'7-الخواص الهندسية الصافية'!L6</f>
        <v>1.017247211698759</v>
      </c>
      <c r="F6" s="185">
        <f>'3- مسار الكابل'!C12</f>
        <v>0.15844444444444444</v>
      </c>
      <c r="G6" s="185">
        <f t="shared" si="0"/>
        <v>0.85880276725431459</v>
      </c>
      <c r="H6" s="185">
        <f>'7-الحمولات الجديدة'!D37</f>
        <v>1989.6386789428454</v>
      </c>
      <c r="I6" s="185">
        <f>'2-تحديد الحمولات'!F11</f>
        <v>4463.1640625</v>
      </c>
      <c r="J6" s="186">
        <f>(-'4 - حساب قوة سبق الاجهاد'!$G$35/B6+'4 - حساب قوة سبق الاجهاد'!$G$35*G6/C6-H6/C6)/1000</f>
        <v>0.9651713686485236</v>
      </c>
      <c r="K6" s="187" t="str">
        <f>IF(4&gt;J6,IF(J6&lt;'0- المعطيات'!$I$28,"OK"),"Not OK")</f>
        <v>OK</v>
      </c>
      <c r="L6" s="186">
        <f>(-'4 - حساب قوة سبق الاجهاد'!$G$35/B6-'4 - حساب قوة سبق الاجهاد'!$G$35*G6/D6+H6/D6)/1000</f>
        <v>-7.5057610252338351</v>
      </c>
      <c r="M6" s="188" t="str">
        <f>IF(4&gt;L6,IF(L6&gt;='0- المعطيات'!$I$27,"OK"),"Not OK")</f>
        <v>OK</v>
      </c>
    </row>
    <row r="7" spans="1:13" x14ac:dyDescent="0.25">
      <c r="A7" s="184">
        <v>3</v>
      </c>
      <c r="B7" s="185">
        <f>'7-الخواص الهندسية الصافية'!J7</f>
        <v>0.7746061959974101</v>
      </c>
      <c r="C7" s="185">
        <f>'7-الخواص الهندسية الصافية'!N7</f>
        <v>0.26921149301507402</v>
      </c>
      <c r="D7" s="185">
        <f>'7-الخواص الهندسية الصافية'!L7</f>
        <v>0.99166318458693381</v>
      </c>
      <c r="E7" s="185">
        <f>'7-الخواص الهندسية الصافية'!L7</f>
        <v>0.99166318458693381</v>
      </c>
      <c r="F7" s="185">
        <f>'3- مسار الكابل'!C13</f>
        <v>0.16899999999999998</v>
      </c>
      <c r="G7" s="185">
        <f t="shared" si="0"/>
        <v>0.82266318458693388</v>
      </c>
      <c r="H7" s="185">
        <f>'7-الحمولات الجديدة'!D38</f>
        <v>1944.6242291930071</v>
      </c>
      <c r="I7" s="185">
        <f>'2-تحديد الحمولات'!F12</f>
        <v>4362.1875</v>
      </c>
      <c r="J7" s="186">
        <f>(-'4 - حساب قوة سبق الاجهاد'!$G$35/B7+'4 - حساب قوة سبق الاجهاد'!$G$35*G7/C7-H7/C7)/1000</f>
        <v>0.71789304807970622</v>
      </c>
      <c r="K7" s="187" t="str">
        <f>IF(4&gt;J7,IF(J7&lt;'0- المعطيات'!$I$28,"OK"),"Not OK")</f>
        <v>OK</v>
      </c>
      <c r="L7" s="186">
        <f>(-'4 - حساب قوة سبق الاجهاد'!$G$35/B7-'4 - حساب قوة سبق الاجهاد'!$G$35*G7/D7+H7/D7)/1000</f>
        <v>-7.5809269048326735</v>
      </c>
      <c r="M7" s="188" t="str">
        <f>IF(4&gt;L7,IF(L7&gt;='0- المعطيات'!$I$27,"OK"),"Not OK")</f>
        <v>OK</v>
      </c>
    </row>
    <row r="8" spans="1:13" x14ac:dyDescent="0.25">
      <c r="A8" s="184">
        <v>4</v>
      </c>
      <c r="B8" s="185">
        <f>'7-الخواص الهندسية الصافية'!J8</f>
        <v>0.75460619599741008</v>
      </c>
      <c r="C8" s="185">
        <f>'7-الخواص الهندسية الصافية'!N8</f>
        <v>0.25599765381102196</v>
      </c>
      <c r="D8" s="185">
        <f>'7-الخواص الهندسية الصافية'!L8</f>
        <v>0.96596206706916443</v>
      </c>
      <c r="E8" s="185">
        <f>'7-الخواص الهندسية الصافية'!L8</f>
        <v>0.96596206706916443</v>
      </c>
      <c r="F8" s="185">
        <f>'3- مسار الكابل'!C14</f>
        <v>0.18377777777777776</v>
      </c>
      <c r="G8" s="185">
        <f t="shared" si="0"/>
        <v>0.78218428929138661</v>
      </c>
      <c r="H8" s="185">
        <f>'7-الحمولات الجديدة'!D39</f>
        <v>1881.6039995432338</v>
      </c>
      <c r="I8" s="185">
        <f>'2-تحديد الحمولات'!F13</f>
        <v>4220.8203125</v>
      </c>
      <c r="J8" s="186">
        <f>(-'4 - حساب قوة سبق الاجهاد'!$G$35/B8+'4 - حساب قوة سبق الاجهاد'!$G$35*G8/C8-H8/C8)/1000</f>
        <v>0.43550256094601536</v>
      </c>
      <c r="K8" s="187" t="str">
        <f>IF(4&gt;J8,IF(J8&lt;'0- المعطيات'!$I$28,"OK"),"Not OK")</f>
        <v>OK</v>
      </c>
      <c r="L8" s="186">
        <f>(-'4 - حساب قوة سبق الاجهاد'!$G$35/B8-'4 - حساب قوة سبق الاجهاد'!$G$35*G8/D8+H8/D8)/1000</f>
        <v>-7.6587125054908771</v>
      </c>
      <c r="M8" s="188" t="str">
        <f>IF(4&gt;L8,IF(L8&gt;='0- المعطيات'!$I$27,"OK"),"Not OK")</f>
        <v>OK</v>
      </c>
    </row>
    <row r="9" spans="1:13" x14ac:dyDescent="0.25">
      <c r="A9" s="184">
        <v>5</v>
      </c>
      <c r="B9" s="185">
        <f>'7-الخواص الهندسية الصافية'!J9</f>
        <v>0.73460619599741006</v>
      </c>
      <c r="C9" s="185">
        <f>'7-الخواص الهندسية الصافية'!N9</f>
        <v>0.24319897172293198</v>
      </c>
      <c r="D9" s="185">
        <f>'7-الخواص الهندسية الصافية'!L9</f>
        <v>0.9401342956209463</v>
      </c>
      <c r="E9" s="185">
        <f>'7-الخواص الهندسية الصافية'!L9</f>
        <v>0.9401342956209463</v>
      </c>
      <c r="F9" s="185">
        <f>'3- مسار الكابل'!C15</f>
        <v>0.20277777777777772</v>
      </c>
      <c r="G9" s="185">
        <f t="shared" si="0"/>
        <v>0.73735651784316858</v>
      </c>
      <c r="H9" s="185">
        <f>'7-الحمولات الجديدة'!D40</f>
        <v>1800.5779899935255</v>
      </c>
      <c r="I9" s="185">
        <f>'2-تحديد الحمولات'!F14</f>
        <v>4039.0625000000005</v>
      </c>
      <c r="J9" s="186">
        <f>(-'4 - حساب قوة سبق الاجهاد'!$G$35/B9+'4 - حساب قوة سبق الاجهاد'!$G$35*G9/C9-H9/C9)/1000</f>
        <v>0.11364287114058061</v>
      </c>
      <c r="K9" s="187" t="str">
        <f>IF(4&gt;J9,IF(J9&lt;'0- المعطيات'!$I$28,"OK"),"Not OK")</f>
        <v>OK</v>
      </c>
      <c r="L9" s="186">
        <f>(-'4 - حساب قوة سبق الاجهاد'!$G$35/B9-'4 - حساب قوة سبق الاجهاد'!$G$35*G9/D9+H9/D9)/1000</f>
        <v>-7.739272255862347</v>
      </c>
      <c r="M9" s="188" t="str">
        <f>IF(4&gt;L9,IF(L9&gt;='0- المعطيات'!$I$27,"OK"),"Not OK")</f>
        <v>OK</v>
      </c>
    </row>
    <row r="10" spans="1:13" x14ac:dyDescent="0.25">
      <c r="A10" s="184">
        <v>6</v>
      </c>
      <c r="B10" s="185">
        <f>'7-الخواص الهندسية الصافية'!J10</f>
        <v>0.71460619599741004</v>
      </c>
      <c r="C10" s="185">
        <f>'7-الخواص الهندسية الصافية'!N10</f>
        <v>0.23080265679678749</v>
      </c>
      <c r="D10" s="185">
        <f>'7-الخواص الهندسية الصافية'!L10</f>
        <v>0.91416923608339684</v>
      </c>
      <c r="E10" s="185">
        <f>'7-الخواص الهندسية الصافية'!L10</f>
        <v>0.91416923608339684</v>
      </c>
      <c r="F10" s="185">
        <f>'3- مسار الكابل'!C16</f>
        <v>0.22599999999999992</v>
      </c>
      <c r="G10" s="185">
        <f t="shared" si="0"/>
        <v>0.68816923608339686</v>
      </c>
      <c r="H10" s="185">
        <f>'7-الحمولات الجديدة'!D41</f>
        <v>1701.5462005438815</v>
      </c>
      <c r="I10" s="185">
        <f>'2-تحديد الحمولات'!F15</f>
        <v>3816.9140625000005</v>
      </c>
      <c r="J10" s="186">
        <f>(-'4 - حساب قوة سبق الاجهاد'!$G$35/B10+'4 - حساب قوة سبق الاجهاد'!$G$35*G10/C10-H10/C10)/1000</f>
        <v>-0.25257267916584258</v>
      </c>
      <c r="K10" s="187" t="str">
        <f>IF(4&gt;J10,IF(J10&lt;'0- المعطيات'!$I$28,"OK"),"Not OK")</f>
        <v>OK</v>
      </c>
      <c r="L10" s="186">
        <f>(-'4 - حساب قوة سبق الاجهاد'!$G$35/B10-'4 - حساب قوة سبق الاجهاد'!$G$35*G10/D10+H10/D10)/1000</f>
        <v>-7.822766037187975</v>
      </c>
      <c r="M10" s="188" t="str">
        <f>IF(4&gt;L10,IF(L10&gt;='0- المعطيات'!$I$27,"OK"),"Not OK")</f>
        <v>OK</v>
      </c>
    </row>
    <row r="11" spans="1:13" x14ac:dyDescent="0.25">
      <c r="A11" s="184">
        <v>7</v>
      </c>
      <c r="B11" s="185">
        <f>'7-الخواص الهندسية الصافية'!J11</f>
        <v>0.69460619599741003</v>
      </c>
      <c r="C11" s="185">
        <f>'7-الخواص الهندسية الصافية'!N11</f>
        <v>0.21879194733363252</v>
      </c>
      <c r="D11" s="185">
        <f>'7-الخواص الهندسية الصافية'!L11</f>
        <v>0.88805502952780568</v>
      </c>
      <c r="E11" s="185">
        <f>'7-الخواص الهندسية الصافية'!L11</f>
        <v>0.88805502952780568</v>
      </c>
      <c r="F11" s="185">
        <f>'3- مسار الكابل'!C17</f>
        <v>0.25344444444444436</v>
      </c>
      <c r="G11" s="185">
        <f t="shared" si="0"/>
        <v>0.63461058508336132</v>
      </c>
      <c r="H11" s="185">
        <f>'7-الحمولات الجديدة'!D42</f>
        <v>1584.5086311943023</v>
      </c>
      <c r="I11" s="185">
        <f>'2-تحديد الحمولات'!F16</f>
        <v>3554.3750000000005</v>
      </c>
      <c r="J11" s="186">
        <f>(-'4 - حساب قوة سبق الاجهاد'!$G$35/B11+'4 - حساب قوة سبق الاجهاد'!$G$35*G11/C11-H11/C11)/1000</f>
        <v>-0.66864762036954739</v>
      </c>
      <c r="K11" s="187" t="str">
        <f>IF(4&gt;J11,IF(J11&lt;'0- المعطيات'!$I$28,"OK"),"Not OK")</f>
        <v>OK</v>
      </c>
      <c r="L11" s="186">
        <f>(-'4 - حساب قوة سبق الاجهاد'!$G$35/B11-'4 - حساب قوة سبق الاجهاد'!$G$35*G11/D11+H11/D11)/1000</f>
        <v>-7.9093573279040381</v>
      </c>
      <c r="M11" s="188" t="str">
        <f>IF(4&gt;L11,IF(L11&gt;='0- المعطيات'!$I$27,"OK"),"Not OK")</f>
        <v>OK</v>
      </c>
    </row>
    <row r="12" spans="1:13" x14ac:dyDescent="0.25">
      <c r="A12" s="184">
        <v>8</v>
      </c>
      <c r="B12" s="185">
        <f>'7-الخواص الهندسية الصافية'!J12</f>
        <v>0.67460619599741001</v>
      </c>
      <c r="C12" s="185">
        <f>'7-الخواص الهندسية الصافية'!N12</f>
        <v>0.20714546818662899</v>
      </c>
      <c r="D12" s="185">
        <f>'7-الخواص الهندسية الصافية'!L12</f>
        <v>0.86177841070233319</v>
      </c>
      <c r="E12" s="185">
        <f>'7-الخواص الهندسية الصافية'!L12</f>
        <v>0.86177841070233319</v>
      </c>
      <c r="F12" s="185">
        <f>'3- مسار الكابل'!C18</f>
        <v>0.28511111111111098</v>
      </c>
      <c r="G12" s="185">
        <f t="shared" si="0"/>
        <v>0.5766672995912222</v>
      </c>
      <c r="H12" s="185">
        <f>'7-الحمولات الجديدة'!D43</f>
        <v>1449.4652819447876</v>
      </c>
      <c r="I12" s="185">
        <f>'2-تحديد الحمولات'!F17</f>
        <v>3251.4453125000005</v>
      </c>
      <c r="J12" s="186">
        <f>(-'4 - حساب قوة سبق الاجهاد'!$G$35/B12+'4 - حساب قوة سبق الاجهاد'!$G$35*G12/C12-H12/C12)/1000</f>
        <v>-1.1408215530635626</v>
      </c>
      <c r="K12" s="187" t="str">
        <f>IF(4&gt;J12,IF(J12&lt;'0- المعطيات'!$I$28,"OK"),"Not OK")</f>
        <v>OK</v>
      </c>
      <c r="L12" s="186">
        <f>(-'4 - حساب قوة سبق الاجهاد'!$G$35/B12-'4 - حساب قوة سبق الاجهاد'!$G$35*G12/D12+H12/D12)/1000</f>
        <v>-7.9992103249549764</v>
      </c>
      <c r="M12" s="188" t="str">
        <f>IF(4&gt;L12,IF(L12&gt;='0- المعطيات'!$I$27,"OK"),"Not OK")</f>
        <v>OK</v>
      </c>
    </row>
    <row r="13" spans="1:13" x14ac:dyDescent="0.25">
      <c r="A13" s="184">
        <v>9</v>
      </c>
      <c r="B13" s="185">
        <f>'7-الخواص الهندسية الصافية'!J13</f>
        <v>0.65460619599740999</v>
      </c>
      <c r="C13" s="185">
        <f>'7-الخواص الهندسية الصافية'!N13</f>
        <v>0.19583647631895634</v>
      </c>
      <c r="D13" s="185">
        <f>'7-الخواص الهندسية الصافية'!L13</f>
        <v>0.83532449319702418</v>
      </c>
      <c r="E13" s="185">
        <f>'7-الخواص الهندسية الصافية'!L13</f>
        <v>0.83532449319702418</v>
      </c>
      <c r="F13" s="185">
        <f>'3- مسار الكابل'!C19</f>
        <v>0.32099999999999984</v>
      </c>
      <c r="G13" s="185">
        <f t="shared" si="0"/>
        <v>0.51432449319702433</v>
      </c>
      <c r="H13" s="185">
        <f>'7-الحمولات الجديدة'!D44</f>
        <v>1296.4161527953381</v>
      </c>
      <c r="I13" s="185">
        <f>'2-تحديد الحمولات'!F18</f>
        <v>2908.1250000000005</v>
      </c>
      <c r="J13" s="186">
        <f>(-'4 - حساب قوة سبق الاجهاد'!$G$35/B13+'4 - حساب قوة سبق الاجهاد'!$G$35*G13/C13-H13/C13)/1000</f>
        <v>-1.6762390150543316</v>
      </c>
      <c r="K13" s="187" t="str">
        <f>IF(4&gt;J13,IF(J13&lt;'0- المعطيات'!$I$28,"OK"),"Not OK")</f>
        <v>OK</v>
      </c>
      <c r="L13" s="186">
        <f>(-'4 - حساب قوة سبق الاجهاد'!$G$35/B13-'4 - حساب قوة سبق الاجهاد'!$G$35*G13/D13+H13/D13)/1000</f>
        <v>-8.0924856075516285</v>
      </c>
      <c r="M13" s="188" t="str">
        <f>IF(4&gt;L13,IF(L13&gt;='0- المعطيات'!$I$27,"OK"),"Not OK")</f>
        <v>OK</v>
      </c>
    </row>
    <row r="14" spans="1:13" x14ac:dyDescent="0.25">
      <c r="A14" s="184">
        <v>10</v>
      </c>
      <c r="B14" s="185">
        <f>'7-الخواص الهندسية الصافية'!J14</f>
        <v>0.63460619599740986</v>
      </c>
      <c r="C14" s="185">
        <f>'7-الخواص الهندسية الصافية'!N14</f>
        <v>0.18483197396649192</v>
      </c>
      <c r="D14" s="185">
        <f>'7-الخواص الهندسية الصافية'!L14</f>
        <v>0.80867651398489093</v>
      </c>
      <c r="E14" s="185">
        <f>'7-الخواص الهندسية الصافية'!L14</f>
        <v>0.80867651398489093</v>
      </c>
      <c r="F14" s="185">
        <f>'3- مسار الكابل'!C20</f>
        <v>0.36111111111111094</v>
      </c>
      <c r="G14" s="185">
        <f t="shared" si="0"/>
        <v>0.44756540287377999</v>
      </c>
      <c r="H14" s="185">
        <f>'7-الحمولات الجديدة'!D45</f>
        <v>1125.3612437459533</v>
      </c>
      <c r="I14" s="185">
        <f>'2-تحديد الحمولات'!F19</f>
        <v>2524.4140625</v>
      </c>
      <c r="J14" s="186">
        <f>(-'4 - حساب قوة سبق الاجهاد'!$G$35/B14+'4 - حساب قوة سبق الاجهاد'!$G$35*G14/C14-H14/C14)/1000</f>
        <v>-2.2831961410282537</v>
      </c>
      <c r="K14" s="187" t="str">
        <f>IF(4&gt;J14,IF(J14&lt;'0- المعطيات'!$I$28,"OK"),"Not OK")</f>
        <v>OK</v>
      </c>
      <c r="L14" s="186">
        <f>(-'4 - حساب قوة سبق الاجهاد'!$G$35/B14-'4 - حساب قوة سبق الاجهاد'!$G$35*G14/D14+H14/D14)/1000</f>
        <v>-8.1893337207809243</v>
      </c>
      <c r="M14" s="188" t="str">
        <f>IF(4&gt;L14,IF(L14&gt;='0- المعطيات'!$I$27,"OK"),"Not OK")</f>
        <v>OK</v>
      </c>
    </row>
    <row r="15" spans="1:13" x14ac:dyDescent="0.25">
      <c r="A15" s="184">
        <v>11</v>
      </c>
      <c r="B15" s="185">
        <f>'7-الخواص الهندسية الصافية'!J15</f>
        <v>0.61460619599740984</v>
      </c>
      <c r="C15" s="185">
        <f>'7-الخواص الهندسية الصافية'!N15</f>
        <v>0.17409166719578964</v>
      </c>
      <c r="D15" s="185">
        <f>'7-الخواص الهندسية الصافية'!L15</f>
        <v>0.78181552808541477</v>
      </c>
      <c r="E15" s="185">
        <f>'7-الخواص الهندسية الصافية'!L15</f>
        <v>0.78181552808541477</v>
      </c>
      <c r="F15" s="185">
        <f>'3- مسار الكابل'!C21</f>
        <v>0.40544444444444427</v>
      </c>
      <c r="G15" s="185">
        <f t="shared" si="0"/>
        <v>0.37637108364097049</v>
      </c>
      <c r="H15" s="185">
        <f>'7-الحمولات الجديدة'!D46</f>
        <v>936.30055479663315</v>
      </c>
      <c r="I15" s="185">
        <f>'2-تحديد الحمولات'!F20</f>
        <v>2100.3125</v>
      </c>
      <c r="J15" s="186">
        <f>(-'4 - حساب قوة سبق الاجهاد'!$G$35/B15+'4 - حساب قوة سبق الاجهاد'!$G$35*G15/C15-H15/C15)/1000</f>
        <v>-2.9715102080444677</v>
      </c>
      <c r="K15" s="187" t="str">
        <f>IF(4&gt;J15,IF(J15&lt;'0- المعطيات'!$I$28,"OK"),"Not OK")</f>
        <v>OK</v>
      </c>
      <c r="L15" s="186">
        <f>(-'4 - حساب قوة سبق الاجهاد'!$G$35/B15-'4 - حساب قوة سبق الاجهاد'!$G$35*G15/D15+H15/D15)/1000</f>
        <v>-8.2898857792146075</v>
      </c>
      <c r="M15" s="188" t="str">
        <f>IF(4&gt;L15,IF(L15&gt;='0- المعطيات'!$I$27,"OK"),"Not OK")</f>
        <v>OK</v>
      </c>
    </row>
    <row r="16" spans="1:13" x14ac:dyDescent="0.25">
      <c r="A16" s="184">
        <v>12</v>
      </c>
      <c r="B16" s="185">
        <f>'7-الخواص الهندسية الصافية'!J16</f>
        <v>0.6438919102831242</v>
      </c>
      <c r="C16" s="185">
        <f>'7-الخواص الهندسية الصافية'!N16</f>
        <v>0.17062500946083753</v>
      </c>
      <c r="D16" s="185">
        <f>'7-الخواص الهندسية الصافية'!L16</f>
        <v>0.74096364790066205</v>
      </c>
      <c r="E16" s="185">
        <f>'7-الخواص الهندسية الصافية'!L16</f>
        <v>0.74096364790066205</v>
      </c>
      <c r="F16" s="185">
        <f>'3- مسار الكابل'!C22</f>
        <v>0.45399999999999974</v>
      </c>
      <c r="G16" s="185">
        <f t="shared" si="0"/>
        <v>0.28696364790066231</v>
      </c>
      <c r="H16" s="185">
        <f>'7-الحمولات الجديدة'!D47</f>
        <v>729.23408594737771</v>
      </c>
      <c r="I16" s="185">
        <f>'2-تحديد الحمولات'!F21</f>
        <v>1635.8203125000002</v>
      </c>
      <c r="J16" s="186">
        <f>(-'4 - حساب قوة سبق الاجهاد'!$G$35/B16+'4 - حساب قوة سبق الاجهاد'!$G$35*G16/C16-H16/C16)/1000</f>
        <v>-3.6944152841565665</v>
      </c>
      <c r="K16" s="187" t="str">
        <f>IF(4&gt;J16,IF(J16&lt;'0- المعطيات'!$I$28,"OK"),"Not OK")</f>
        <v>OK</v>
      </c>
      <c r="L16" s="186">
        <f>(-'4 - حساب قوة سبق الاجهاد'!$G$35/B16-'4 - حساب قوة سبق الاجهاد'!$G$35*G16/D16+H16/D16)/1000</f>
        <v>-7.7468016824786234</v>
      </c>
      <c r="M16" s="188" t="str">
        <f>IF(4&gt;L16,IF(L16&gt;='0- المعطيات'!$I$27,"OK"),"Not OK")</f>
        <v>OK</v>
      </c>
    </row>
    <row r="17" spans="1:13" x14ac:dyDescent="0.25">
      <c r="A17" s="184">
        <v>13</v>
      </c>
      <c r="B17" s="185">
        <f>'7-الخواص الهندسية الصافية'!J17</f>
        <v>0.70032048171169559</v>
      </c>
      <c r="C17" s="185">
        <f>'7-الخواص الهندسية الصافية'!N17</f>
        <v>0.17007217306926636</v>
      </c>
      <c r="D17" s="185">
        <f>'7-الخواص الهندسية الصافية'!L17</f>
        <v>0.69552673679962573</v>
      </c>
      <c r="E17" s="185">
        <f>'7-الخواص الهندسية الصافية'!L17</f>
        <v>0.69552673679962573</v>
      </c>
      <c r="F17" s="185">
        <f>'3- مسار الكابل'!C23</f>
        <v>0.50677777777777755</v>
      </c>
      <c r="G17" s="185">
        <f t="shared" si="0"/>
        <v>0.18874895902184818</v>
      </c>
      <c r="H17" s="185">
        <f>'7-الحمولات الجديدة'!D48</f>
        <v>504.16183719818707</v>
      </c>
      <c r="I17" s="185">
        <f>'2-تحديد الحمولات'!F22</f>
        <v>1130.9375</v>
      </c>
      <c r="J17" s="186">
        <f>(-'4 - حساب قوة سبق الاجهاد'!$G$35/B17+'4 - حساب قوة سبق الاجهاد'!$G$35*G17/C17-H17/C17)/1000</f>
        <v>-4.3957615911818735</v>
      </c>
      <c r="K17" s="187" t="str">
        <f>IF(4&gt;J17,IF(J17&lt;'0- المعطيات'!$I$28,"OK"),"Not OK")</f>
        <v>OK</v>
      </c>
      <c r="L17" s="186">
        <f>(-'4 - حساب قوة سبق الاجهاد'!$G$35/B17-'4 - حساب قوة سبق الاجهاد'!$G$35*G17/D17+H17/D17)/1000</f>
        <v>-6.9214668628631655</v>
      </c>
      <c r="M17" s="188" t="str">
        <f>IF(4&gt;L17,IF(L17&gt;='0- المعطيات'!$I$27,"OK"),"Not OK")</f>
        <v>OK</v>
      </c>
    </row>
    <row r="18" spans="1:13" x14ac:dyDescent="0.25">
      <c r="A18" s="184">
        <v>14</v>
      </c>
      <c r="B18" s="185">
        <f>'7-الخواص الهندسية الصافية'!J18</f>
        <v>0.74960619599740985</v>
      </c>
      <c r="C18" s="185">
        <f>'7-الخواص الهندسية الصافية'!N18</f>
        <v>0.16742246209491038</v>
      </c>
      <c r="D18" s="185">
        <f>'7-الخواص الهندسية الصافية'!L18</f>
        <v>0.6542719604062176</v>
      </c>
      <c r="E18" s="185">
        <f>'7-الخواص الهندسية الصافية'!L18</f>
        <v>0.6542719604062176</v>
      </c>
      <c r="F18" s="185">
        <f>'3- مسار الكابل'!C24</f>
        <v>0.56377777777777749</v>
      </c>
      <c r="G18" s="185">
        <f t="shared" si="0"/>
        <v>9.0494182628440112E-2</v>
      </c>
      <c r="H18" s="185">
        <f>'7-الحمولات الجديدة'!D49</f>
        <v>261.08380854906113</v>
      </c>
      <c r="I18" s="185">
        <f>'2-تحديد الحمولات'!F23</f>
        <v>585.6640625</v>
      </c>
      <c r="J18" s="186">
        <f>(-'4 - حساب قوة سبق الاجهاد'!$G$35/B18+'4 - حساب قوة سبق الاجهاد'!$G$35*G18/C18-H18/C18)/1000</f>
        <v>-5.1300417939737697</v>
      </c>
      <c r="K18" s="187" t="str">
        <f>IF(4&gt;J18,IF(J18&lt;'0- المعطيات'!$I$28,"OK"),"Not OK")</f>
        <v>OK</v>
      </c>
      <c r="L18" s="186">
        <f>(-'4 - حساب قوة سبق الاجهاد'!$G$35/B18-'4 - حساب قوة سبق الاجهاد'!$G$35*G18/D18+H18/D18)/1000</f>
        <v>-6.2260908455301029</v>
      </c>
      <c r="M18" s="188" t="str">
        <f>IF(4&gt;L18,IF(L18&gt;='0- المعطيات'!$I$27,"OK"),"Not OK")</f>
        <v>OK</v>
      </c>
    </row>
    <row r="19" spans="1:13" ht="28.5" customHeight="1" thickBot="1" x14ac:dyDescent="0.3">
      <c r="A19" s="189">
        <v>15</v>
      </c>
      <c r="B19" s="190">
        <f>'7-الخواص الهندسية الصافية'!J19</f>
        <v>0.73460619599740962</v>
      </c>
      <c r="C19" s="185">
        <f>'7-الخواص الهندسية الصافية'!N19</f>
        <v>0.15624999999999981</v>
      </c>
      <c r="D19" s="190">
        <f>'7-الخواص الهندسية الصافية'!L19</f>
        <v>0.62499999999999956</v>
      </c>
      <c r="E19" s="190">
        <f>'7-الخواص الهندسية الصافية'!L19</f>
        <v>0.62499999999999956</v>
      </c>
      <c r="F19" s="190">
        <f>'3- مسار الكابل'!C25</f>
        <v>0.62499999999999967</v>
      </c>
      <c r="G19" s="190">
        <f t="shared" si="0"/>
        <v>0</v>
      </c>
      <c r="H19" s="185">
        <f>'7-الحمولات الجديدة'!D50</f>
        <v>0</v>
      </c>
      <c r="I19" s="190">
        <f>'2-تحديد الحمولات'!F24</f>
        <v>0</v>
      </c>
      <c r="J19" s="191">
        <f>(-'4 - حساب قوة سبق الاجهاد'!$G$35/B19+'4 - حساب قوة سبق الاجهاد'!$G$35*G19/C19-H19/C19)/1000</f>
        <v>-6.1253390245239201</v>
      </c>
      <c r="K19" s="338" t="str">
        <f>IF(4&gt;J19,IF(J19&lt;'0- المعطيات'!$I$28,"OK"),"Not OK")</f>
        <v>OK</v>
      </c>
      <c r="L19" s="191">
        <f>(-'4 - حساب قوة سبق الاجهاد'!$G$35/B19-'4 - حساب قوة سبق الاجهاد'!$G$35*G19/D19+H19/D19)/1000</f>
        <v>-6.1253390245239201</v>
      </c>
      <c r="M19" s="339" t="str">
        <f>IF(4&gt;L19,IF(L19&gt;='0- المعطيات'!$I$27,"OK"),"Not OK")</f>
        <v>OK</v>
      </c>
    </row>
    <row r="20" spans="1:13" ht="20.25" customHeight="1" x14ac:dyDescent="0.25"/>
    <row r="21" spans="1:13" ht="20.25" customHeight="1" x14ac:dyDescent="0.25"/>
    <row r="22" spans="1:13" ht="20.25" customHeight="1" x14ac:dyDescent="0.25"/>
    <row r="23" spans="1:13" ht="20.25" customHeight="1" x14ac:dyDescent="0.25"/>
    <row r="24" spans="1:13" ht="20.25" customHeight="1" x14ac:dyDescent="0.25"/>
    <row r="25" spans="1:13" ht="28.5" customHeight="1" x14ac:dyDescent="0.25"/>
    <row r="26" spans="1:13" ht="20.25" customHeight="1" x14ac:dyDescent="0.25"/>
    <row r="27" spans="1:13" ht="20.25" customHeight="1" x14ac:dyDescent="0.25"/>
    <row r="28" spans="1:13" ht="20.25" customHeight="1" x14ac:dyDescent="0.25"/>
    <row r="29" spans="1:13" ht="20.25" customHeight="1" x14ac:dyDescent="0.25"/>
    <row r="30" spans="1:13" ht="20.25" customHeight="1" x14ac:dyDescent="0.25"/>
    <row r="31" spans="1:13" ht="20.25" customHeight="1" x14ac:dyDescent="0.25"/>
    <row r="32" spans="1:13" ht="20.25" customHeight="1" x14ac:dyDescent="0.25"/>
    <row r="33" ht="20.25" customHeight="1" x14ac:dyDescent="0.25"/>
    <row r="34" ht="20.25" customHeight="1" x14ac:dyDescent="0.25"/>
    <row r="35" ht="20.25" customHeight="1" x14ac:dyDescent="0.25"/>
    <row r="36" ht="20.25" customHeight="1" x14ac:dyDescent="0.25"/>
    <row r="37" ht="21" customHeight="1" x14ac:dyDescent="0.25"/>
  </sheetData>
  <mergeCells count="11">
    <mergeCell ref="J2:M2"/>
    <mergeCell ref="A2:A3"/>
    <mergeCell ref="B2:B3"/>
    <mergeCell ref="A1:M1"/>
    <mergeCell ref="C2:C3"/>
    <mergeCell ref="D2:D3"/>
    <mergeCell ref="E2:E3"/>
    <mergeCell ref="F2:F3"/>
    <mergeCell ref="G2:G3"/>
    <mergeCell ref="H2:H3"/>
    <mergeCell ref="I2:I3"/>
  </mergeCells>
  <printOptions horizontalCentered="1" verticalCentered="1"/>
  <pageMargins left="0.7" right="0.7" top="0.75" bottom="0.75" header="0.3" footer="0.3"/>
  <pageSetup paperSize="9" scale="92" orientation="landscape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Q19"/>
  <sheetViews>
    <sheetView showGridLines="0" zoomScale="80" zoomScaleNormal="80" workbookViewId="0">
      <selection sqref="A1:Q19"/>
    </sheetView>
  </sheetViews>
  <sheetFormatPr defaultColWidth="9" defaultRowHeight="15" x14ac:dyDescent="0.25"/>
  <cols>
    <col min="1" max="2" width="9" style="337"/>
    <col min="3" max="3" width="15.42578125" style="337" customWidth="1"/>
    <col min="4" max="4" width="16.28515625" style="337" customWidth="1"/>
    <col min="5" max="5" width="13.42578125" style="337" customWidth="1"/>
    <col min="6" max="7" width="9" style="337"/>
    <col min="8" max="8" width="12.28515625" style="337" hidden="1" customWidth="1"/>
    <col min="9" max="9" width="13.140625" style="337" customWidth="1"/>
    <col min="10" max="11" width="10.140625" style="337" hidden="1" customWidth="1"/>
    <col min="12" max="13" width="0" style="337" hidden="1" customWidth="1"/>
    <col min="14" max="14" width="17.7109375" style="337" customWidth="1"/>
    <col min="15" max="15" width="9" style="337"/>
    <col min="16" max="16" width="11.7109375" style="337" customWidth="1"/>
    <col min="17" max="16384" width="9" style="337"/>
  </cols>
  <sheetData>
    <row r="1" spans="1:17" ht="27.75" thickBot="1" x14ac:dyDescent="0.3">
      <c r="A1" s="460" t="s">
        <v>294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  <c r="N1" s="461"/>
      <c r="O1" s="461"/>
      <c r="P1" s="461"/>
      <c r="Q1" s="462"/>
    </row>
    <row r="2" spans="1:17" ht="20.25" x14ac:dyDescent="0.25">
      <c r="A2" s="463" t="s">
        <v>28</v>
      </c>
      <c r="B2" s="465" t="s">
        <v>133</v>
      </c>
      <c r="C2" s="465" t="s">
        <v>168</v>
      </c>
      <c r="D2" s="465" t="s">
        <v>169</v>
      </c>
      <c r="E2" s="465" t="s">
        <v>170</v>
      </c>
      <c r="F2" s="465" t="s">
        <v>171</v>
      </c>
      <c r="G2" s="465" t="s">
        <v>172</v>
      </c>
      <c r="H2" s="465" t="s">
        <v>131</v>
      </c>
      <c r="I2" s="471" t="s">
        <v>128</v>
      </c>
      <c r="J2" s="467" t="s">
        <v>134</v>
      </c>
      <c r="K2" s="468"/>
      <c r="L2" s="468"/>
      <c r="M2" s="469"/>
      <c r="N2" s="467" t="s">
        <v>135</v>
      </c>
      <c r="O2" s="468"/>
      <c r="P2" s="468"/>
      <c r="Q2" s="470"/>
    </row>
    <row r="3" spans="1:17" ht="40.5" x14ac:dyDescent="0.25">
      <c r="A3" s="464"/>
      <c r="B3" s="466"/>
      <c r="C3" s="466"/>
      <c r="D3" s="466"/>
      <c r="E3" s="466"/>
      <c r="F3" s="466"/>
      <c r="G3" s="466"/>
      <c r="H3" s="466"/>
      <c r="I3" s="472"/>
      <c r="J3" s="182" t="s">
        <v>136</v>
      </c>
      <c r="K3" s="182" t="s">
        <v>137</v>
      </c>
      <c r="L3" s="182" t="s">
        <v>138</v>
      </c>
      <c r="M3" s="182" t="s">
        <v>137</v>
      </c>
      <c r="N3" s="182" t="s">
        <v>136</v>
      </c>
      <c r="O3" s="182" t="s">
        <v>137</v>
      </c>
      <c r="P3" s="182" t="s">
        <v>139</v>
      </c>
      <c r="Q3" s="183" t="s">
        <v>137</v>
      </c>
    </row>
    <row r="4" spans="1:17" ht="20.25" x14ac:dyDescent="0.25">
      <c r="A4" s="184">
        <v>0</v>
      </c>
      <c r="B4" s="185">
        <f>'7-الخواص الهندسية الصافية'!K24</f>
        <v>0.86764000000000008</v>
      </c>
      <c r="C4" s="185">
        <f>'7-الخواص الهندسية الصافية'!O24</f>
        <v>0.32786658922250672</v>
      </c>
      <c r="D4" s="185">
        <f>'7-الخواص الهندسية الصافية'!P24</f>
        <v>0.30683094952825907</v>
      </c>
      <c r="E4" s="185">
        <f>'7-الخواص الهندسية الصافية'!M24</f>
        <v>1.0331427781107372</v>
      </c>
      <c r="F4" s="185">
        <f>'3- مسار الكابل'!C10</f>
        <v>0.15</v>
      </c>
      <c r="G4" s="185">
        <f>E4-F4</f>
        <v>0.88314277811073716</v>
      </c>
      <c r="H4" s="185">
        <f>'2-تحديد الحمولات'!C9</f>
        <v>2068.9453125000005</v>
      </c>
      <c r="I4" s="185">
        <f>'7-الحمولات الجديدة'!G9</f>
        <v>4573.6993125000008</v>
      </c>
      <c r="J4" s="186">
        <f>(-'4 - حساب قوة سبق الاجهاد'!$G$35/'4- تحقيق الاجهادات الناظمية'!B4+'4 - حساب قوة سبق الاجهاد'!$G$35*'4- تحقيق الاجهادات الناظمية'!G4/'4- تحقيق الاجهادات الناظمية'!C4-'4- تحقيق الاجهادات الناظمية'!H4/'4- تحقيق الاجهادات الناظمية'!C4)/1000</f>
        <v>0.92863079708752416</v>
      </c>
      <c r="K4" s="187" t="str">
        <f>IF(4&gt;J4,IF(J4&lt;'0- المعطيات'!$I$28,"OK"),"Not OK")</f>
        <v>OK</v>
      </c>
      <c r="L4" s="186">
        <f>(-'4 - حساب قوة سبق الاجهاد'!$G$35/'4- تحقيق الاجهادات الناظمية'!B4-'4 - حساب قوة سبق الاجهاد'!$G$35*'4- تحقيق الاجهادات الناظمية'!G4/D4+'4- تحقيق الاجهادات الناظمية'!H4/D4)/1000</f>
        <v>-11.771002565413932</v>
      </c>
      <c r="M4" s="187" t="str">
        <f>IF(4&gt;L4,IF(L4&gt;='0- المعطيات'!$I$27,"OK"),"Not OK")</f>
        <v>OK</v>
      </c>
      <c r="N4" s="186">
        <f>(-'4 - حساب قوة سبق الاجهاد'!$G$34/B4+'4 - حساب قوة سبق الاجهاد'!$G$34*G4/C4-I4/C4)/1000</f>
        <v>-8.5565412826326686</v>
      </c>
      <c r="O4" s="187" t="str">
        <f>IF(2.5&gt;N4,IF(N4&gt;'0- المعطيات'!$I$29,"OK"),"Not OK")</f>
        <v>OK</v>
      </c>
      <c r="P4" s="186">
        <f>(-'4 - حساب قوة سبق الاجهاد'!$G$34/B4-'4 - حساب قوة سبق الاجهاد'!$G$34*G4/D4+I4/D4)/1000</f>
        <v>0.79927305752260869</v>
      </c>
      <c r="Q4" s="188" t="str">
        <f>IF(2.5&gt;P4,IF(P4&lt;'0- المعطيات'!$I$30,"OK"),"Not OK")</f>
        <v>OK</v>
      </c>
    </row>
    <row r="5" spans="1:17" ht="20.25" x14ac:dyDescent="0.25">
      <c r="A5" s="184">
        <v>1</v>
      </c>
      <c r="B5" s="185">
        <f>'7-الخواص الهندسية الصافية'!K25</f>
        <v>0.84764000000000006</v>
      </c>
      <c r="C5" s="185">
        <f>'7-الخواص الهندسية الصافية'!O25</f>
        <v>0.31271057911947037</v>
      </c>
      <c r="D5" s="185">
        <f>'7-الخواص الهندسية الصافية'!P25</f>
        <v>0.29222690061319345</v>
      </c>
      <c r="E5" s="185">
        <f>'7-الخواص الهندسية الصافية'!M25</f>
        <v>1.0080142985229579</v>
      </c>
      <c r="F5" s="185">
        <f>'3- مسار الكابل'!C11</f>
        <v>0.15211111111111111</v>
      </c>
      <c r="G5" s="185">
        <f t="shared" ref="G5:G19" si="0">E5-F5</f>
        <v>0.85590318741184679</v>
      </c>
      <c r="H5" s="185">
        <f>'2-تحديد الحمولات'!C10</f>
        <v>2059.7500000000005</v>
      </c>
      <c r="I5" s="185">
        <f>'7-الحمولات الجديدة'!G10</f>
        <v>4553.37176</v>
      </c>
      <c r="J5" s="186">
        <f>(-'4 - حساب قوة سبق الاجهاد'!$G$35/'4- تحقيق الاجهادات الناظمية'!B5+'4 - حساب قوة سبق الاجهاد'!$G$35*'4- تحقيق الاجهادات الناظمية'!G5/'4- تحقيق الاجهادات الناظمية'!C5-'4- تحقيق الاجهادات الناظمية'!H5/'4- تحقيق الاجهادات الناظمية'!C5)/1000</f>
        <v>0.72944316028092637</v>
      </c>
      <c r="K5" s="187" t="str">
        <f>IF(4&gt;J5,IF(J5&lt;'0- المعطيات'!$I$28,"OK"),"Not OK")</f>
        <v>OK</v>
      </c>
      <c r="L5" s="186">
        <f>(-'4 - حساب قوة سبق الاجهاد'!$G$35/'4- تحقيق الاجهادات الناظمية'!B5-'4 - حساب قوة سبق الاجهاد'!$G$35*'4- تحقيق الاجهادات الناظمية'!G5/D5+'4- تحقيق الاجهادات الناظمية'!H5/D5)/1000</f>
        <v>-11.832179910397809</v>
      </c>
      <c r="M5" s="187" t="str">
        <f>IF(4&gt;L5,IF(L5&gt;='0- المعطيات'!$I$27,"OK"),"Not OK")</f>
        <v>OK</v>
      </c>
      <c r="N5" s="186">
        <f>(-'4 - حساب قوة سبق الاجهاد'!$G$34/B5+'4 - حساب قوة سبق الاجهاد'!$G$34*G5/C5-I5/C5)/1000</f>
        <v>-9.1107775068613392</v>
      </c>
      <c r="O5" s="187" t="str">
        <f>IF(2.5&gt;N5,IF(N5&gt;'0- المعطيات'!$I$29,"OK"),"Not OK")</f>
        <v>OK</v>
      </c>
      <c r="P5" s="186">
        <f>(-'4 - حساب قوة سبق الاجهاد'!$G$34/B5-'4 - حساب قوة سبق الاجهاد'!$G$34*G5/D5+I5/D5)/1000</f>
        <v>1.2022921889585432</v>
      </c>
      <c r="Q5" s="188" t="str">
        <f>IF(2.5&gt;P5,IF(P5&lt;'0- المعطيات'!$I$30,"OK"),"Not OK")</f>
        <v>OK</v>
      </c>
    </row>
    <row r="6" spans="1:17" ht="20.25" x14ac:dyDescent="0.25">
      <c r="A6" s="184">
        <v>2</v>
      </c>
      <c r="B6" s="185">
        <f>'7-الخواص الهندسية الصافية'!K26</f>
        <v>0.82764000000000004</v>
      </c>
      <c r="C6" s="185">
        <f>'7-الخواص الهندسية الصافية'!O26</f>
        <v>0.2977849827134379</v>
      </c>
      <c r="D6" s="185">
        <f>'7-الخواص الهندسية الصافية'!P26</f>
        <v>0.2778090814137672</v>
      </c>
      <c r="E6" s="185">
        <f>'7-الخواص الهندسية الصافية'!M26</f>
        <v>0.98296960030931313</v>
      </c>
      <c r="F6" s="185">
        <f>'3- مسار الكابل'!C12</f>
        <v>0.15844444444444444</v>
      </c>
      <c r="G6" s="185">
        <f t="shared" si="0"/>
        <v>0.82452515586486874</v>
      </c>
      <c r="H6" s="185">
        <f>'2-تحديد الحمولات'!C11</f>
        <v>2032.1640625000005</v>
      </c>
      <c r="I6" s="185">
        <f>'7-الحمولات الجديدة'!G11</f>
        <v>4492.3891025000003</v>
      </c>
      <c r="J6" s="186">
        <f>(-'4 - حساب قوة سبق الاجهاد'!$G$35/'4- تحقيق الاجهادات الناظمية'!B6+'4 - حساب قوة سبق الاجهاد'!$G$35*'4- تحقيق الاجهادات الناظمية'!G6/'4- تحقيق الاجهادات الناظمية'!C6-'4- تحقيق الاجهادات الناظمية'!H6/'4- تحقيق الاجهادات الناظمية'!C6)/1000</f>
        <v>0.50733120363413309</v>
      </c>
      <c r="K6" s="187" t="str">
        <f>IF(4&gt;J6,IF(J6&lt;'0- المعطيات'!$I$28,"OK"),"Not OK")</f>
        <v>OK</v>
      </c>
      <c r="L6" s="186">
        <f>(-'4 - حساب قوة سبق الاجهاد'!$G$35/'4- تحقيق الاجهادات الناظمية'!B6-'4 - حساب قوة سبق الاجهاد'!$G$35*'4- تحقيق الاجهادات الناظمية'!G6/D6+'4- تحقيق الاجهادات الناظمية'!H6/D6)/1000</f>
        <v>-11.88602245025861</v>
      </c>
      <c r="M6" s="187" t="str">
        <f>IF(4&gt;L6,IF(L6&gt;='0- المعطيات'!$I$27,"OK"),"Not OK")</f>
        <v>OK</v>
      </c>
      <c r="N6" s="186">
        <f>(-'4 - حساب قوة سبق الاجهاد'!$G$34/B6+'4 - حساب قوة سبق الاجهاد'!$G$34*G6/C6-I6/C6)/1000</f>
        <v>-9.6242449752108588</v>
      </c>
      <c r="O6" s="187" t="str">
        <f>IF(2.5&gt;N6,IF(N6&gt;'0- المعطيات'!$I$29,"OK"),"Not OK")</f>
        <v>OK</v>
      </c>
      <c r="P6" s="186">
        <f>(-'4 - حساب قوة سبق الاجهاد'!$G$34/B6-'4 - حساب قوة سبق الاجهاد'!$G$34*G6/D6+I6/D6)/1000</f>
        <v>1.554975791155508</v>
      </c>
      <c r="Q6" s="188" t="str">
        <f>IF(2.5&gt;P6,IF(P6&lt;'0- المعطيات'!$I$30,"OK"),"Not OK")</f>
        <v>OK</v>
      </c>
    </row>
    <row r="7" spans="1:17" ht="20.25" x14ac:dyDescent="0.25">
      <c r="A7" s="184">
        <v>3</v>
      </c>
      <c r="B7" s="185">
        <f>'7-الخواص الهندسية الصافية'!K27</f>
        <v>0.80764000000000002</v>
      </c>
      <c r="C7" s="185">
        <f>'7-الخواص الهندسية الصافية'!O27</f>
        <v>0.28309460074440207</v>
      </c>
      <c r="D7" s="185">
        <f>'7-الخواص الهندسية الصافية'!P27</f>
        <v>0.26358270793298966</v>
      </c>
      <c r="E7" s="185">
        <f>'7-الخواص الهندسية الصافية'!M27</f>
        <v>0.95801490763211339</v>
      </c>
      <c r="F7" s="185">
        <f>'3- مسار الكابل'!C13</f>
        <v>0.16899999999999998</v>
      </c>
      <c r="G7" s="185">
        <f t="shared" si="0"/>
        <v>0.78901490763211335</v>
      </c>
      <c r="H7" s="185">
        <f>'2-تحديد الحمولات'!C12</f>
        <v>1986.1875000000005</v>
      </c>
      <c r="I7" s="185">
        <f>'7-الحمولات الجديدة'!G12</f>
        <v>4390.7513400000007</v>
      </c>
      <c r="J7" s="186">
        <f>(-'4 - حساب قوة سبق الاجهاد'!$G$35/'4- تحقيق الاجهادات الناظمية'!B7+'4 - حساب قوة سبق الاجهاد'!$G$35*'4- تحقيق الاجهادات الناظمية'!G7/'4- تحقيق الاجهادات الناظمية'!C7-'4- تحقيق الاجهادات الناظمية'!H7/'4- تحقيق الاجهادات الناظمية'!C7)/1000</f>
        <v>0.25950197358970306</v>
      </c>
      <c r="K7" s="187" t="str">
        <f>IF(4&gt;J7,IF(J7&lt;'0- المعطيات'!$I$28,"OK"),"Not OK")</f>
        <v>OK</v>
      </c>
      <c r="L7" s="186">
        <f>(-'4 - حساب قوة سبق الاجهاد'!$G$35/'4- تحقيق الاجهادات الناظمية'!B7-'4 - حساب قوة سبق الاجهاد'!$G$35*'4- تحقيق الاجهادات الناظمية'!G7/D7+'4- تحقيق الاجهادات الناظمية'!H7/D7)/1000</f>
        <v>-11.930800441967811</v>
      </c>
      <c r="M7" s="187" t="str">
        <f>IF(4&gt;L7,IF(L7&gt;='0- المعطيات'!$I$27,"OK"),"Not OK")</f>
        <v>OK</v>
      </c>
      <c r="N7" s="186">
        <f>(-'4 - حساب قوة سبق الاجهاد'!$G$34/B7+'4 - حساب قوة سبق الاجهاد'!$G$34*G7/C7-I7/C7)/1000</f>
        <v>-10.088924690655276</v>
      </c>
      <c r="O7" s="187" t="str">
        <f>IF(2.5&gt;N7,IF(N7&gt;'0- المعطيات'!$I$29,"OK"),"Not OK")</f>
        <v>OK</v>
      </c>
      <c r="P7" s="186">
        <f>(-'4 - حساب قوة سبق الاجهاد'!$G$34/B7-'4 - حساب قوة سبق الاجهاد'!$G$34*G7/D7+I7/D7)/1000</f>
        <v>1.8483128190518363</v>
      </c>
      <c r="Q7" s="188" t="str">
        <f>IF(2.5&gt;P7,IF(P7&lt;'0- المعطيات'!$I$30,"OK"),"Not OK")</f>
        <v>OK</v>
      </c>
    </row>
    <row r="8" spans="1:17" ht="20.25" x14ac:dyDescent="0.25">
      <c r="A8" s="184">
        <v>4</v>
      </c>
      <c r="B8" s="185">
        <f>'7-الخواص الهندسية الصافية'!K28</f>
        <v>0.78764000000000001</v>
      </c>
      <c r="C8" s="185">
        <f>'7-الخواص الهندسية الصافية'!O28</f>
        <v>0.26864683517809362</v>
      </c>
      <c r="D8" s="185">
        <f>'7-الخواص الهندسية الصافية'!P28</f>
        <v>0.24955563611384973</v>
      </c>
      <c r="E8" s="185">
        <f>'7-الخواص الهندسية الصافية'!M28</f>
        <v>0.93315707683713356</v>
      </c>
      <c r="F8" s="185">
        <f>'3- مسار الكابل'!C14</f>
        <v>0.18377777777777776</v>
      </c>
      <c r="G8" s="185">
        <f t="shared" si="0"/>
        <v>0.74937929905935574</v>
      </c>
      <c r="H8" s="185">
        <f>'2-تحديد الحمولات'!C13</f>
        <v>1921.8203125000002</v>
      </c>
      <c r="I8" s="185">
        <f>'7-الحمولات الجديدة'!G13</f>
        <v>4248.4584725000004</v>
      </c>
      <c r="J8" s="186">
        <f>(-'4 - حساب قوة سبق الاجهاد'!$G$35/'4- تحقيق الاجهادات الناظمية'!B8+'4 - حساب قوة سبق الاجهاد'!$G$35*'4- تحقيق الاجهادات الناظمية'!G8/'4- تحقيق الاجهادات الناظمية'!C8-'4- تحقيق الاجهادات الناظمية'!H8/'4- تحقيق الاجهادات الناظمية'!C8)/1000</f>
        <v>-1.7249478749239641E-2</v>
      </c>
      <c r="K8" s="187" t="str">
        <f>IF(4&gt;J8,IF(J8&lt;'0- المعطيات'!$I$28,"OK"),"Not OK")</f>
        <v>OK</v>
      </c>
      <c r="L8" s="186">
        <f>(-'4 - حساب قوة سبق الاجهاد'!$G$35/'4- تحقيق الاجهادات الناظمية'!B8-'4 - حساب قوة سبق الاجهاد'!$G$35*'4- تحقيق الاجهادات الناظمية'!G8/D8+'4- تحقيق الاجهادات الناظمية'!H8/D8)/1000</f>
        <v>-11.964340683290843</v>
      </c>
      <c r="M8" s="187" t="str">
        <f>IF(4&gt;L8,IF(L8&gt;='0- المعطيات'!$I$27,"OK"),"Not OK")</f>
        <v>OK</v>
      </c>
      <c r="N8" s="186">
        <f>(-'4 - حساب قوة سبق الاجهاد'!$G$34/B8+'4 - حساب قوة سبق الاجهاد'!$G$34*G8/C8-I8/C8)/1000</f>
        <v>-10.495177026957219</v>
      </c>
      <c r="O8" s="187" t="str">
        <f>IF(2.5&gt;N8,IF(N8&gt;'0- المعطيات'!$I$29,"OK"),"Not OK")</f>
        <v>OK</v>
      </c>
      <c r="P8" s="186">
        <f>(-'4 - حساب قوة سبق الاجهاد'!$G$34/B8-'4 - حساب قوة سبق الاجهاد'!$G$34*G8/D8+I8/D8)/1000</f>
        <v>2.0714048021914713</v>
      </c>
      <c r="Q8" s="188" t="str">
        <f>IF(2.5&gt;P8,IF(P8&lt;'0- المعطيات'!$I$30,"OK"),"Not OK")</f>
        <v>OK</v>
      </c>
    </row>
    <row r="9" spans="1:17" ht="20.25" x14ac:dyDescent="0.25">
      <c r="A9" s="184">
        <v>5</v>
      </c>
      <c r="B9" s="185">
        <f>'7-الخواص الهندسية الصافية'!K29</f>
        <v>0.76763999999999999</v>
      </c>
      <c r="C9" s="185">
        <f>'7-الخواص الهندسية الصافية'!O29</f>
        <v>0.25445206756103428</v>
      </c>
      <c r="D9" s="185">
        <f>'7-الخواص الهندسية الصافية'!P29</f>
        <v>0.23573872384596217</v>
      </c>
      <c r="E9" s="185">
        <f>'7-الخواص الهندسية الصافية'!M29</f>
        <v>0.9084036788077744</v>
      </c>
      <c r="F9" s="185">
        <f>'3- مسار الكابل'!C15</f>
        <v>0.20277777777777772</v>
      </c>
      <c r="G9" s="185">
        <f t="shared" si="0"/>
        <v>0.70562590102999667</v>
      </c>
      <c r="H9" s="185">
        <f>'2-تحديد الحمولات'!C14</f>
        <v>1839.0625000000005</v>
      </c>
      <c r="I9" s="185">
        <f>'7-الحمولات الجديدة'!G14</f>
        <v>4065.5105000000003</v>
      </c>
      <c r="J9" s="186">
        <f>(-'4 - حساب قوة سبق الاجهاد'!$G$35/'4- تحقيق الاجهادات الناظمية'!B9+'4 - حساب قوة سبق الاجهاد'!$G$35*'4- تحقيق الاجهادات الناظمية'!G9/'4- تحقيق الاجهادات الناظمية'!C9-'4- تحقيق الاجهادات الناظمية'!H9/'4- تحقيق الاجهادات الناظمية'!C9)/1000</f>
        <v>-0.32661389794364093</v>
      </c>
      <c r="K9" s="187" t="str">
        <f>IF(4&gt;J9,IF(J9&lt;'0- المعطيات'!$I$28,"OK"),"Not OK")</f>
        <v>OK</v>
      </c>
      <c r="L9" s="186">
        <f>(-'4 - حساب قوة سبق الاجهاد'!$G$35/'4- تحقيق الاجهادات الناظمية'!B9-'4 - حساب قوة سبق الاجهاد'!$G$35*'4- تحقيق الاجهادات الناظمية'!G9/D9+'4- تحقيق الاجهادات الناظمية'!H9/D9)/1000</f>
        <v>-11.983908597264621</v>
      </c>
      <c r="M9" s="187" t="str">
        <f>IF(4&gt;L9,IF(L9&gt;='0- المعطيات'!$I$27,"OK"),"Not OK")</f>
        <v>OK</v>
      </c>
      <c r="N9" s="186">
        <f>(-'4 - حساب قوة سبق الاجهاد'!$G$34/B9+'4 - حساب قوة سبق الاجهاد'!$G$34*G9/C9-I9/C9)/1000</f>
        <v>-10.831351433933163</v>
      </c>
      <c r="O9" s="187" t="str">
        <f>IF(2.5&gt;N9,IF(N9&gt;'0- المعطيات'!$I$29,"OK"),"Not OK")</f>
        <v>OK</v>
      </c>
      <c r="P9" s="186">
        <f>(-'4 - حساب قوة سبق الاجهاد'!$G$34/B9-'4 - حساب قوة سبق الاجهاد'!$G$34*G9/D9+I9/D9)/1000</f>
        <v>2.2109763612798377</v>
      </c>
      <c r="Q9" s="188" t="str">
        <f>IF(2.5&gt;P9,IF(P9&lt;'0- المعطيات'!$I$30,"OK"),"Not OK")</f>
        <v>OK</v>
      </c>
    </row>
    <row r="10" spans="1:17" ht="20.25" x14ac:dyDescent="0.25">
      <c r="A10" s="184">
        <v>6</v>
      </c>
      <c r="B10" s="185">
        <f>'7-الخواص الهندسية الصافية'!K30</f>
        <v>0.74763999999999997</v>
      </c>
      <c r="C10" s="185">
        <f>'7-الخواص الهندسية الصافية'!O30</f>
        <v>0.24052411134410792</v>
      </c>
      <c r="D10" s="185">
        <f>'7-الخواص الهندسية الصافية'!P30</f>
        <v>0.22214624886026191</v>
      </c>
      <c r="E10" s="185">
        <f>'7-الخواص الهندسية الصافية'!M30</f>
        <v>0.88376309453747781</v>
      </c>
      <c r="F10" s="185">
        <f>'3- مسار الكابل'!C16</f>
        <v>0.22599999999999992</v>
      </c>
      <c r="G10" s="185">
        <f t="shared" si="0"/>
        <v>0.65776309453747794</v>
      </c>
      <c r="H10" s="185">
        <f>'2-تحديد الحمولات'!C15</f>
        <v>1737.9140625000005</v>
      </c>
      <c r="I10" s="185">
        <f>'7-الحمولات الجديدة'!G15</f>
        <v>3841.9074225000004</v>
      </c>
      <c r="J10" s="186">
        <f>(-'4 - حساب قوة سبق الاجهاد'!$G$35/'4- تحقيق الاجهادات الناظمية'!B10+'4 - حساب قوة سبق الاجهاد'!$G$35*'4- تحقيق الاجهادات الناظمية'!G10/'4- تحقيق الاجهادات الناظمية'!C10-'4- تحقيق الاجهادات الناظمية'!H10/'4- تحقيق الاجهادات الناظمية'!C10)/1000</f>
        <v>-0.6728574673082931</v>
      </c>
      <c r="K10" s="187" t="str">
        <f>IF(4&gt;J10,IF(J10&lt;'0- المعطيات'!$I$28,"OK"),"Not OK")</f>
        <v>OK</v>
      </c>
      <c r="L10" s="186">
        <f>(-'4 - حساب قوة سبق الاجهاد'!$G$35/'4- تحقيق الاجهادات الناظمية'!B10-'4 - حساب قوة سبق الاجهاد'!$G$35*'4- تحقيق الاجهادات الناظمية'!G10/D10+'4- تحقيق الاجهادات الناظمية'!H10/D10)/1000</f>
        <v>-11.98605821793484</v>
      </c>
      <c r="M10" s="187" t="str">
        <f>IF(4&gt;L10,IF(L10&gt;='0- المعطيات'!$I$27,"OK"),"Not OK")</f>
        <v>OK</v>
      </c>
      <c r="N10" s="186">
        <f>(-'4 - حساب قوة سبق الاجهاد'!$G$34/B10+'4 - حساب قوة سبق الاجهاد'!$G$34*G10/C10-I10/C10)/1000</f>
        <v>-11.083299787464547</v>
      </c>
      <c r="O10" s="187" t="str">
        <f>IF(2.5&gt;N10,IF(N10&gt;'0- المعطيات'!$I$29,"OK"),"Not OK")</f>
        <v>OK</v>
      </c>
      <c r="P10" s="186">
        <f>(-'4 - حساب قوة سبق الاجهاد'!$G$34/B10-'4 - حساب قوة سبق الاجهاد'!$G$34*G10/D10+I10/D10)/1000</f>
        <v>2.2507496938344231</v>
      </c>
      <c r="Q10" s="188" t="str">
        <f>IF(2.5&gt;P10,IF(P10&lt;'0- المعطيات'!$I$30,"OK"),"Not OK")</f>
        <v>OK</v>
      </c>
    </row>
    <row r="11" spans="1:17" ht="20.25" x14ac:dyDescent="0.25">
      <c r="A11" s="184">
        <v>7</v>
      </c>
      <c r="B11" s="185">
        <f>'7-الخواص الهندسية الصافية'!K31</f>
        <v>0.72763999999999995</v>
      </c>
      <c r="C11" s="185">
        <f>'7-الخواص الهندسية الصافية'!O31</f>
        <v>0.22688075676965375</v>
      </c>
      <c r="D11" s="185">
        <f>'7-الخواص الهندسية الصافية'!P31</f>
        <v>0.20879639167018199</v>
      </c>
      <c r="E11" s="185">
        <f>'7-الخواص الهندسية الصافية'!M31</f>
        <v>0.85924462646363564</v>
      </c>
      <c r="F11" s="185">
        <f>'3- مسار الكابل'!C17</f>
        <v>0.25344444444444436</v>
      </c>
      <c r="G11" s="185">
        <f t="shared" si="0"/>
        <v>0.60580018201919128</v>
      </c>
      <c r="H11" s="185">
        <f>'2-تحديد الحمولات'!C16</f>
        <v>1618.3750000000005</v>
      </c>
      <c r="I11" s="185">
        <f>'7-الحمولات الجديدة'!G16</f>
        <v>3577.6492400000002</v>
      </c>
      <c r="J11" s="186">
        <f>(-'4 - حساب قوة سبق الاجهاد'!$G$35/'4- تحقيق الاجهادات الناظمية'!B11+'4 - حساب قوة سبق الاجهاد'!$G$35*'4- تحقيق الاجهادات الناظمية'!G11/'4- تحقيق الاجهادات الناظمية'!C11-'4- تحقيق الاجهادات الناظمية'!H11/'4- تحقيق الاجهادات الناظمية'!C11)/1000</f>
        <v>-1.0609313116510319</v>
      </c>
      <c r="K11" s="187" t="str">
        <f>IF(4&gt;J11,IF(J11&lt;'0- المعطيات'!$I$28,"OK"),"Not OK")</f>
        <v>OK</v>
      </c>
      <c r="L11" s="186">
        <f>(-'4 - حساب قوة سبق الاجهاد'!$G$35/'4- تحقيق الاجهادات الناظمية'!B11-'4 - حساب قوة سبق الاجهاد'!$G$35*'4- تحقيق الاجهادات الناظمية'!G11/D11+'4- تحقيق الاجهادات الناظمية'!H11/D11)/1000</f>
        <v>-11.966441938320877</v>
      </c>
      <c r="M11" s="187" t="str">
        <f>IF(4&gt;L11,IF(L11&gt;='0- المعطيات'!$I$27,"OK"),"Not OK")</f>
        <v>OK</v>
      </c>
      <c r="N11" s="186">
        <f>(-'4 - حساب قوة سبق الاجهاد'!$G$34/B11+'4 - حساب قوة سبق الاجهاد'!$G$34*G11/C11-I11/C11)/1000</f>
        <v>-11.233773298306415</v>
      </c>
      <c r="O11" s="187" t="str">
        <f>IF(2.5&gt;N11,IF(N11&gt;'0- المعطيات'!$I$29,"OK"),"Not OK")</f>
        <v>OK</v>
      </c>
      <c r="P11" s="186">
        <f>(-'4 - حساب قوة سبق الاجهاد'!$G$34/B11-'4 - حساب قوة سبق الاجهاد'!$G$34*G11/D11+I11/D11)/1000</f>
        <v>2.1706463642252003</v>
      </c>
      <c r="Q11" s="188" t="str">
        <f>IF(2.5&gt;P11,IF(P11&lt;'0- المعطيات'!$I$30,"OK"),"Not OK")</f>
        <v>OK</v>
      </c>
    </row>
    <row r="12" spans="1:17" ht="20.25" x14ac:dyDescent="0.25">
      <c r="A12" s="184">
        <v>8</v>
      </c>
      <c r="B12" s="185">
        <f>'7-الخواص الهندسية الصافية'!K32</f>
        <v>0.70763999999999994</v>
      </c>
      <c r="C12" s="185">
        <f>'7-الخواص الهندسية الصافية'!O32</f>
        <v>0.21354443270186702</v>
      </c>
      <c r="D12" s="185">
        <f>'7-الخواص الهندسية الصافية'!P32</f>
        <v>0.19571179414302262</v>
      </c>
      <c r="E12" s="185">
        <f>'7-الخواص الهندسية الصافية'!M32</f>
        <v>0.83485862868125005</v>
      </c>
      <c r="F12" s="185">
        <f>'3- مسار الكابل'!C18</f>
        <v>0.28511111111111098</v>
      </c>
      <c r="G12" s="185">
        <f t="shared" si="0"/>
        <v>0.54974751757013907</v>
      </c>
      <c r="H12" s="185">
        <f>'2-تحديد الحمولات'!C17</f>
        <v>1480.4453125000005</v>
      </c>
      <c r="I12" s="185">
        <f>'7-الحمولات الجديدة'!G17</f>
        <v>3272.7359525000002</v>
      </c>
      <c r="J12" s="186">
        <f>(-'4 - حساب قوة سبق الاجهاد'!$G$35/'4- تحقيق الاجهادات الناظمية'!B12+'4 - حساب قوة سبق الاجهاد'!$G$35*'4- تحقيق الاجهادات الناظمية'!G12/'4- تحقيق الاجهادات الناظمية'!C12-'4- تحقيق الاجهادات الناظمية'!H12/'4- تحقيق الاجهادات الناظمية'!C12)/1000</f>
        <v>-1.4966060636931953</v>
      </c>
      <c r="K12" s="187" t="str">
        <f>IF(4&gt;J12,IF(J12&lt;'0- المعطيات'!$I$28,"OK"),"Not OK")</f>
        <v>OK</v>
      </c>
      <c r="L12" s="186">
        <f>(-'4 - حساب قوة سبق الاجهاد'!$G$35/'4- تحقيق الاجهادات الناظمية'!B12-'4 - حساب قوة سبق الاجهاد'!$G$35*'4- تحقيق الاجهادات الناظمية'!G12/D12+'4- تحقيق الاجهادات الناظمية'!H12/D12)/1000</f>
        <v>-11.91957079622906</v>
      </c>
      <c r="M12" s="187" t="str">
        <f>IF(4&gt;L12,IF(L12&gt;='0- المعطيات'!$I$27,"OK"),"Not OK")</f>
        <v>OK</v>
      </c>
      <c r="N12" s="186">
        <f>(-'4 - حساب قوة سبق الاجهاد'!$G$34/B12+'4 - حساب قوة سبق الاجهاد'!$G$34*G12/C12-I12/C12)/1000</f>
        <v>-11.261683163276299</v>
      </c>
      <c r="O12" s="187" t="str">
        <f>IF(2.5&gt;N12,IF(N12&gt;'0- المعطيات'!$I$29,"OK"),"Not OK")</f>
        <v>OK</v>
      </c>
      <c r="P12" s="186">
        <f>(-'4 - حساب قوة سبق الاجهاد'!$G$34/B12-'4 - حساب قوة سبق الاجهاد'!$G$34*G12/D12+I12/D12)/1000</f>
        <v>1.9457730188688256</v>
      </c>
      <c r="Q12" s="188" t="str">
        <f>IF(2.5&gt;P12,IF(P12&lt;'0- المعطيات'!$I$30,"OK"),"Not OK")</f>
        <v>OK</v>
      </c>
    </row>
    <row r="13" spans="1:17" ht="20.25" x14ac:dyDescent="0.25">
      <c r="A13" s="184">
        <v>9</v>
      </c>
      <c r="B13" s="185">
        <f>'7-الخواص الهندسية الصافية'!K33</f>
        <v>0.68763999999999992</v>
      </c>
      <c r="C13" s="185">
        <f>'7-الخواص الهندسية الصافية'!O33</f>
        <v>0.20054301772724087</v>
      </c>
      <c r="D13" s="185">
        <f>'7-الخواص الهندسية الصافية'!P33</f>
        <v>0.18292020584279262</v>
      </c>
      <c r="E13" s="185">
        <f>'7-الخواص الهندسية الصافية'!M33</f>
        <v>0.81061665988016962</v>
      </c>
      <c r="F13" s="185">
        <f>'3- مسار الكابل'!C19</f>
        <v>0.32099999999999984</v>
      </c>
      <c r="G13" s="185">
        <f t="shared" si="0"/>
        <v>0.48961665988016978</v>
      </c>
      <c r="H13" s="185">
        <f>'2-تحديد الحمولات'!C18</f>
        <v>1324.1250000000005</v>
      </c>
      <c r="I13" s="185">
        <f>'7-الحمولات الجديدة'!G18</f>
        <v>2927.1675600000003</v>
      </c>
      <c r="J13" s="186">
        <f>(-'4 - حساب قوة سبق الاجهاد'!$G$35/'4- تحقيق الاجهادات الناظمية'!B13+'4 - حساب قوة سبق الاجهاد'!$G$35*'4- تحقيق الاجهادات الناظمية'!G13/'4- تحقيق الاجهادات الناظمية'!C13-'4- تحقيق الاجهادات الناظمية'!H13/'4- تحقيق الاجهادات الناظمية'!C13)/1000</f>
        <v>-1.9866382896633841</v>
      </c>
      <c r="K13" s="187" t="str">
        <f>IF(4&gt;J13,IF(J13&lt;'0- المعطيات'!$I$28,"OK"),"Not OK")</f>
        <v>OK</v>
      </c>
      <c r="L13" s="186">
        <f>(-'4 - حساب قوة سبق الاجهاد'!$G$35/'4- تحقيق الاجهادات الناظمية'!B13-'4 - حساب قوة سبق الاجهاد'!$G$35*'4- تحقيق الاجهادات الناظمية'!G13/D13+'4- تحقيق الاجهادات الناظمية'!H13/D13)/1000</f>
        <v>-11.838515970836681</v>
      </c>
      <c r="M13" s="187" t="str">
        <f>IF(4&gt;L13,IF(L13&gt;='0- المعطيات'!$I$27,"OK"),"Not OK")</f>
        <v>OK</v>
      </c>
      <c r="N13" s="186">
        <f>(-'4 - حساب قوة سبق الاجهاد'!$G$34/B13+'4 - حساب قوة سبق الاجهاد'!$G$34*G13/C13-I13/C13)/1000</f>
        <v>-11.141210675003734</v>
      </c>
      <c r="O13" s="187" t="str">
        <f>IF(2.5&gt;N13,IF(N13&gt;'0- المعطيات'!$I$29,"OK"),"Not OK")</f>
        <v>OK</v>
      </c>
      <c r="P13" s="186">
        <f>(-'4 - حساب قوة سبق الاجهاد'!$G$34/B13-'4 - حساب قوة سبق الاجهاد'!$G$34*G13/D13+I13/D13)/1000</f>
        <v>1.5451434942293216</v>
      </c>
      <c r="Q13" s="188" t="str">
        <f>IF(2.5&gt;P13,IF(P13&lt;'0- المعطيات'!$I$30,"OK"),"Not OK")</f>
        <v>OK</v>
      </c>
    </row>
    <row r="14" spans="1:17" ht="20.25" x14ac:dyDescent="0.25">
      <c r="A14" s="184">
        <v>10</v>
      </c>
      <c r="B14" s="185">
        <f>'7-الخواص الهندسية الصافية'!K34</f>
        <v>0.66763999999999979</v>
      </c>
      <c r="C14" s="185">
        <f>'7-الخواص الهندسية الصافية'!O34</f>
        <v>0.18791084391167831</v>
      </c>
      <c r="D14" s="185">
        <f>'7-الخواص الهندسية الصافية'!P34</f>
        <v>0.17045523192582426</v>
      </c>
      <c r="E14" s="185">
        <f>'7-الخواص الهندسية الصافية'!M34</f>
        <v>0.78653166377089434</v>
      </c>
      <c r="F14" s="185">
        <f>'3- مسار الكابل'!C20</f>
        <v>0.36111111111111094</v>
      </c>
      <c r="G14" s="185">
        <f t="shared" si="0"/>
        <v>0.4254205526597834</v>
      </c>
      <c r="H14" s="185">
        <f>'2-تحديد الحمولات'!C19</f>
        <v>1149.4140625000002</v>
      </c>
      <c r="I14" s="185">
        <f>'7-الحمولات الجديدة'!G19</f>
        <v>2540.9440625000002</v>
      </c>
      <c r="J14" s="186">
        <f>(-'4 - حساب قوة سبق الاجهاد'!$G$35/'4- تحقيق الاجهادات الناظمية'!B14+'4 - حساب قوة سبق الاجهاد'!$G$35*'4- تحقيق الاجهادات الناظمية'!G14/'4- تحقيق الاجهادات الناظمية'!C14-'4- تحقيق الاجهادات الناظمية'!H14/'4- تحقيق الاجهادات الناظمية'!C14)/1000</f>
        <v>-2.5389777224689851</v>
      </c>
      <c r="K14" s="187" t="str">
        <f>IF(4&gt;J14,IF(J14&lt;'0- المعطيات'!$I$28,"OK"),"Not OK")</f>
        <v>OK</v>
      </c>
      <c r="L14" s="186">
        <f>(-'4 - حساب قوة سبق الاجهاد'!$G$35/'4- تحقيق الاجهادات الناظمية'!B14-'4 - حساب قوة سبق الاجهاد'!$G$35*'4- تحقيق الاجهادات الناظمية'!G14/D14+'4- تحقيق الاجهادات الناظمية'!H14/D14)/1000</f>
        <v>-11.714544519495641</v>
      </c>
      <c r="M14" s="187" t="str">
        <f>IF(4&gt;L14,IF(L14&gt;='0- المعطيات'!$I$27,"OK"),"Not OK")</f>
        <v>OK</v>
      </c>
      <c r="N14" s="186">
        <f>(-'4 - حساب قوة سبق الاجهاد'!$G$34/B14+'4 - حساب قوة سبق الاجهاد'!$G$34*G14/C14-I14/C14)/1000</f>
        <v>-10.840769099515487</v>
      </c>
      <c r="O14" s="187" t="str">
        <f>IF(2.5&gt;N14,IF(N14&gt;'0- المعطيات'!$I$29,"OK"),"Not OK")</f>
        <v>OK</v>
      </c>
      <c r="P14" s="186">
        <f>(-'4 - حساب قوة سبق الاجهاد'!$G$34/B14-'4 - حساب قوة سبق الاجهاد'!$G$34*G14/D14+I14/D14)/1000</f>
        <v>0.93009335671489313</v>
      </c>
      <c r="Q14" s="188" t="str">
        <f>IF(2.5&gt;P14,IF(P14&lt;'0- المعطيات'!$I$30,"OK"),"Not OK")</f>
        <v>OK</v>
      </c>
    </row>
    <row r="15" spans="1:17" ht="20.25" x14ac:dyDescent="0.25">
      <c r="A15" s="184">
        <v>11</v>
      </c>
      <c r="B15" s="185">
        <f>'7-الخواص الهندسية الصافية'!K35</f>
        <v>0.64763999999999977</v>
      </c>
      <c r="C15" s="185">
        <f>'7-الخواص الهندسية الصافية'!O35</f>
        <v>0.17568995220945882</v>
      </c>
      <c r="D15" s="185">
        <f>'7-الخواص الهندسية الصافية'!P35</f>
        <v>0.15835719799254108</v>
      </c>
      <c r="E15" s="185">
        <f>'7-الخواص الهندسية الصافية'!M35</f>
        <v>0.76261818294113992</v>
      </c>
      <c r="F15" s="185">
        <f>'3- مسار الكابل'!C21</f>
        <v>0.40544444444444427</v>
      </c>
      <c r="G15" s="185">
        <f t="shared" si="0"/>
        <v>0.35717373849669565</v>
      </c>
      <c r="H15" s="185">
        <f>'2-تحديد الحمولات'!C20</f>
        <v>956.31250000000023</v>
      </c>
      <c r="I15" s="185">
        <f>'7-الحمولات الجديدة'!G20</f>
        <v>2114.0654600000003</v>
      </c>
      <c r="J15" s="186">
        <f>(-'4 - حساب قوة سبق الاجهاد'!$G$35/'4- تحقيق الاجهادات الناظمية'!B15+'4 - حساب قوة سبق الاجهاد'!$G$35*'4- تحقيق الاجهادات الناظمية'!G15/'4- تحقيق الاجهادات الناظمية'!C15-'4- تحقيق الاجهادات الناظمية'!H15/'4- تحقيق الاجهادات الناظمية'!C15)/1000</f>
        <v>-3.1630271914693742</v>
      </c>
      <c r="K15" s="187" t="str">
        <f>IF(4&gt;J15,IF(J15&lt;'0- المعطيات'!$I$28,"OK"),"Not OK")</f>
        <v>OK</v>
      </c>
      <c r="L15" s="186">
        <f>(-'4 - حساب قوة سبق الاجهاد'!$G$35/'4- تحقيق الاجهادات الناظمية'!B15-'4 - حساب قوة سبق الاجهاد'!$G$35*'4- تحقيق الاجهادات الناظمية'!G15/D15+'4- تحقيق الاجهادات الناظمية'!H15/D15)/1000</f>
        <v>-11.536690103773976</v>
      </c>
      <c r="M15" s="187" t="str">
        <f>IF(4&gt;L15,IF(L15&gt;='0- المعطيات'!$I$27,"OK"),"Not OK")</f>
        <v>OK</v>
      </c>
      <c r="N15" s="186">
        <f>(-'4 - حساب قوة سبق الاجهاد'!$G$34/B15+'4 - حساب قوة سبق الاجهاد'!$G$34*G15/C15-I15/C15)/1000</f>
        <v>-10.321858022017958</v>
      </c>
      <c r="O15" s="187" t="str">
        <f>IF(2.5&gt;N15,IF(N15&gt;'0- المعطيات'!$I$29,"OK"),"Not OK")</f>
        <v>OK</v>
      </c>
      <c r="P15" s="186">
        <f>(-'4 - حساب قوة سبق الاجهاد'!$G$34/B15-'4 - حساب قوة سبق الاجهاد'!$G$34*G15/D15+I15/D15)/1000</f>
        <v>5.2364763059158576E-2</v>
      </c>
      <c r="Q15" s="188" t="str">
        <f>IF(2.5&gt;P15,IF(P15&lt;'0- المعطيات'!$I$30,"OK"),"Not OK")</f>
        <v>OK</v>
      </c>
    </row>
    <row r="16" spans="1:17" ht="20.25" x14ac:dyDescent="0.25">
      <c r="A16" s="184">
        <v>12</v>
      </c>
      <c r="B16" s="185">
        <f>'7-الخواص الهندسية الصافية'!K36</f>
        <v>0.67692571428571413</v>
      </c>
      <c r="C16" s="185">
        <f>'7-الخواص الهندسية الصافية'!O36</f>
        <v>0.17091939455580324</v>
      </c>
      <c r="D16" s="185">
        <f>'7-الخواص الهندسية الصافية'!P36</f>
        <v>0.15824202720949879</v>
      </c>
      <c r="E16" s="185">
        <f>'7-الخواص الهندسية الصافية'!M36</f>
        <v>0.72695989431209973</v>
      </c>
      <c r="F16" s="185">
        <f>'3- مسار الكابل'!C22</f>
        <v>0.45399999999999974</v>
      </c>
      <c r="G16" s="185">
        <f t="shared" si="0"/>
        <v>0.27295989431209999</v>
      </c>
      <c r="H16" s="185">
        <f>'2-تحديد الحمولات'!C21</f>
        <v>744.82031250000023</v>
      </c>
      <c r="I16" s="185">
        <f>'7-الحمولات الجديدة'!G21</f>
        <v>1646.5317525</v>
      </c>
      <c r="J16" s="186">
        <f>(-'4 - حساب قوة سبق الاجهاد'!$G$35/'4- تحقيق الاجهادات الناظمية'!B16+'4 - حساب قوة سبق الاجهاد'!$G$35*'4- تحقيق الاجهادات الناظمية'!G16/'4- تحقيق الاجهادات الناظمية'!C16-'4- تحقيق الاجهادات الناظمية'!H16/'4- تحقيق الاجهادات الناظمية'!C16)/1000</f>
        <v>-3.8018168093577831</v>
      </c>
      <c r="K16" s="187" t="str">
        <f>IF(4&gt;J16,IF(J16&lt;'0- المعطيات'!$I$28,"OK"),"Not OK")</f>
        <v>OK</v>
      </c>
      <c r="L16" s="186">
        <f>(-'4 - حساب قوة سبق الاجهاد'!$G$35/'4- تحقيق الاجهادات الناظمية'!B16-'4 - حساب قوة سبق الاجهاد'!$G$35*'4- تحقيق الاجهادات الناظمية'!G16/D16+'4- تحقيق الاجهادات الناظمية'!H16/D16)/1000</f>
        <v>-10.087752546115672</v>
      </c>
      <c r="M16" s="187" t="str">
        <f>IF(4&gt;L16,IF(L16&gt;='0- المعطيات'!$I$27,"OK"),"Not OK")</f>
        <v>OK</v>
      </c>
      <c r="N16" s="186">
        <f>(-'4 - حساب قوة سبق الاجهاد'!$G$34/B16+'4 - حساب قوة سبق الاجهاد'!$G$34*G16/C16-I16/C16)/1000</f>
        <v>-9.2143096361240779</v>
      </c>
      <c r="O16" s="187" t="str">
        <f>IF(2.5&gt;N16,IF(N16&gt;'0- المعطيات'!$I$29,"OK"),"Not OK")</f>
        <v>OK</v>
      </c>
      <c r="P16" s="186">
        <f>(-'4 - حساب قوة سبق الاجهاد'!$G$34/B16-'4 - حساب قوة سبق الاجهاد'!$G$34*G16/D16+I16/D16)/1000</f>
        <v>-0.80190069885543014</v>
      </c>
      <c r="Q16" s="188" t="str">
        <f>IF(2.5&gt;P16,IF(P16&lt;'0- المعطيات'!$I$30,"OK"),"Not OK")</f>
        <v>OK</v>
      </c>
    </row>
    <row r="17" spans="1:17" ht="20.25" x14ac:dyDescent="0.25">
      <c r="A17" s="184">
        <v>13</v>
      </c>
      <c r="B17" s="185">
        <f>'7-الخواص الهندسية الصافية'!K37</f>
        <v>0.73335428571428551</v>
      </c>
      <c r="C17" s="185">
        <f>'7-الخواص الهندسية الصافية'!O37</f>
        <v>0.16958629553400931</v>
      </c>
      <c r="D17" s="185">
        <f>'7-الخواص الهندسية الصافية'!P37</f>
        <v>0.16364996266524484</v>
      </c>
      <c r="E17" s="185">
        <f>'7-الخواص الهندسية الصافية'!M37</f>
        <v>0.68702457592120714</v>
      </c>
      <c r="F17" s="185">
        <f>'3- مسار الكابل'!C23</f>
        <v>0.50677777777777755</v>
      </c>
      <c r="G17" s="185">
        <f t="shared" si="0"/>
        <v>0.18024679814342959</v>
      </c>
      <c r="H17" s="185">
        <f>'2-تحديد الحمولات'!C22</f>
        <v>514.93750000000011</v>
      </c>
      <c r="I17" s="185">
        <f>'7-الحمولات الجديدة'!G22</f>
        <v>1138.34294</v>
      </c>
      <c r="J17" s="186">
        <f>(-'4 - حساب قوة سبق الاجهاد'!$G$35/'4- تحقيق الاجهادات الناظمية'!B17+'4 - حساب قوة سبق الاجهاد'!$G$35*'4- تحقيق الاجهادات الناظمية'!G17/'4- تحقيق الاجهادات الناظمية'!C17-'4- تحقيق الاجهادات الناظمية'!H17/'4- تحقيق الاجهادات الناظمية'!C17)/1000</f>
        <v>-4.4257786593699509</v>
      </c>
      <c r="K17" s="187" t="str">
        <f>IF(4&gt;J17,IF(J17&lt;'0- المعطيات'!$I$28,"OK"),"Not OK")</f>
        <v>OK</v>
      </c>
      <c r="L17" s="186">
        <f>(-'4 - حساب قوة سبق الاجهاد'!$G$35/'4- تحقيق الاجهادات الناظمية'!B17-'4 - حساب قوة سبق الاجهاد'!$G$35*'4- تحقيق الاجهادات الناظمية'!G17/D17+'4- تحقيق الاجهادات الناظمية'!H17/D17)/1000</f>
        <v>-8.2186523176387887</v>
      </c>
      <c r="M17" s="187" t="str">
        <f>IF(4&gt;L17,IF(L17&gt;='0- المعطيات'!$I$27,"OK"),"Not OK")</f>
        <v>OK</v>
      </c>
      <c r="N17" s="186">
        <f>(-'4 - حساب قوة سبق الاجهاد'!$G$34/B17+'4 - حساب قوة سبق الاجهاد'!$G$34*G17/C17-I17/C17)/1000</f>
        <v>-7.7649773010378009</v>
      </c>
      <c r="O17" s="187" t="str">
        <f>IF(2.5&gt;N17,IF(N17&gt;'0- المعطيات'!$I$29,"OK"),"Not OK")</f>
        <v>OK</v>
      </c>
      <c r="P17" s="186">
        <f>(-'4 - حساب قوة سبق الاجهاد'!$G$34/B17-'4 - حساب قوة سبق الاجهاد'!$G$34*G17/D17+I17/D17)/1000</f>
        <v>-1.6710350084748753</v>
      </c>
      <c r="Q17" s="188" t="str">
        <f>IF(2.5&gt;P17,IF(P17&lt;'0- المعطيات'!$I$30,"OK"),"Not OK")</f>
        <v>OK</v>
      </c>
    </row>
    <row r="18" spans="1:17" ht="20.25" x14ac:dyDescent="0.25">
      <c r="A18" s="184">
        <v>14</v>
      </c>
      <c r="B18" s="185">
        <f>'7-الخواص الهندسية الصافية'!K38</f>
        <v>0.78263999999999978</v>
      </c>
      <c r="C18" s="185">
        <f>'7-الخواص الهندسية الصافية'!O38</f>
        <v>0.16683684887948719</v>
      </c>
      <c r="D18" s="185">
        <f>'7-الخواص الهندسية الصافية'!P38</f>
        <v>0.16660479076042253</v>
      </c>
      <c r="E18" s="185">
        <f>'7-الخواص الهندسية الصافية'!M38</f>
        <v>0.65045236634979009</v>
      </c>
      <c r="F18" s="185">
        <f>'3- مسار الكابل'!C24</f>
        <v>0.56377777777777749</v>
      </c>
      <c r="G18" s="185">
        <f t="shared" si="0"/>
        <v>8.6674588572012601E-2</v>
      </c>
      <c r="H18" s="185">
        <f>'2-تحديد الحمولات'!C23</f>
        <v>266.66406250000006</v>
      </c>
      <c r="I18" s="185">
        <f>'7-الحمولات الجديدة'!G23</f>
        <v>589.49902250000002</v>
      </c>
      <c r="J18" s="186">
        <f>(-'4 - حساب قوة سبق الاجهاد'!$G$35/'4- تحقيق الاجهادات الناظمية'!B18+'4 - حساب قوة سبق الاجهاد'!$G$35*'4- تحقيق الاجهادات الناظمية'!G18/'4- تحقيق الاجهادات الناظمية'!C18-'4- تحقيق الاجهادات الناظمية'!H18/'4- تحقيق الاجهادات الناظمية'!C18)/1000</f>
        <v>-5.0901977080993088</v>
      </c>
      <c r="K18" s="187" t="str">
        <f>IF(4&gt;J18,IF(J18&lt;'0- المعطيات'!$I$28,"OK"),"Not OK")</f>
        <v>OK</v>
      </c>
      <c r="L18" s="186">
        <f>(-'4 - حساب قوة سبق الاجهاد'!$G$35/'4- تحقيق الاجهادات الناظمية'!B18-'4 - حساب قوة سبق الاجهاد'!$G$35*'4- تحقيق الاجهادات الناظمية'!G18/D18+'4- تحقيق الاجهادات الناظمية'!H18/D18)/1000</f>
        <v>-6.6763102396132661</v>
      </c>
      <c r="M18" s="187" t="str">
        <f>IF(4&gt;L18,IF(L18&gt;='0- المعطيات'!$I$27,"OK"),"Not OK")</f>
        <v>OK</v>
      </c>
      <c r="N18" s="186">
        <f>(-'4 - حساب قوة سبق الاجهاد'!$G$34/B18+'4 - حساب قوة سبق الاجهاد'!$G$34*G18/C18-I18/C18)/1000</f>
        <v>-6.1869500234172028</v>
      </c>
      <c r="O18" s="187" t="str">
        <f>IF(2.5&gt;N18,IF(N18&gt;'0- المعطيات'!$I$29,"OK"),"Not OK")</f>
        <v>OK</v>
      </c>
      <c r="P18" s="186">
        <f>(-'4 - حساب قوة سبق الاجهاد'!$G$34/B18-'4 - حساب قوة سبق الاجهاد'!$G$34*G18/D18+I18/D18)/1000</f>
        <v>-2.7541752024502482</v>
      </c>
      <c r="Q18" s="188" t="str">
        <f>IF(2.5&gt;P18,IF(P18&lt;'0- المعطيات'!$I$30,"OK"),"Not OK")</f>
        <v>OK</v>
      </c>
    </row>
    <row r="19" spans="1:17" ht="21" thickBot="1" x14ac:dyDescent="0.3">
      <c r="A19" s="189">
        <v>15</v>
      </c>
      <c r="B19" s="190">
        <f>'7-الخواص الهندسية الصافية'!K39</f>
        <v>0.76763999999999954</v>
      </c>
      <c r="C19" s="185">
        <f>'7-الخواص الهندسية الصافية'!O39</f>
        <v>0.15624999999999981</v>
      </c>
      <c r="D19" s="185">
        <f>'7-الخواص الهندسية الصافية'!P39</f>
        <v>0.15624999999999981</v>
      </c>
      <c r="E19" s="190">
        <f>'7-الخواص الهندسية الصافية'!M39</f>
        <v>0.62499999999999967</v>
      </c>
      <c r="F19" s="190">
        <f>'3- مسار الكابل'!C25</f>
        <v>0.62499999999999967</v>
      </c>
      <c r="G19" s="190">
        <f t="shared" si="0"/>
        <v>0</v>
      </c>
      <c r="H19" s="190">
        <f>'2-تحديد الحمولات'!C24</f>
        <v>0</v>
      </c>
      <c r="I19" s="190">
        <f>'7-الحمولات الجديدة'!G24</f>
        <v>0</v>
      </c>
      <c r="J19" s="191">
        <f>(-'4 - حساب قوة سبق الاجهاد'!$G$35/'4- تحقيق الاجهادات الناظمية'!B19+'4 - حساب قوة سبق الاجهاد'!$G$35*'4- تحقيق الاجهادات الناظمية'!G19/'4- تحقيق الاجهادات الناظمية'!C19-'4- تحقيق الاجهادات الناظمية'!H19/'4- تحقيق الاجهادات الناظمية'!C19)/1000</f>
        <v>-5.9996160000000049</v>
      </c>
      <c r="K19" s="338" t="str">
        <f>IF(4&gt;J19,IF(J19&lt;'0- المعطيات'!$I$28,"OK"),"Not OK")</f>
        <v>OK</v>
      </c>
      <c r="L19" s="191">
        <f>(-'4 - حساب قوة سبق الاجهاد'!$G$35/'4- تحقيق الاجهادات الناظمية'!B19-'4 - حساب قوة سبق الاجهاد'!$G$35*'4- تحقيق الاجهادات الناظمية'!G19/D19+'4- تحقيق الاجهادات الناظمية'!H19/D19)/1000</f>
        <v>-5.9996160000000049</v>
      </c>
      <c r="M19" s="338" t="str">
        <f>IF(4&gt;L19,IF(L19&gt;='0- المعطيات'!$I$27,"OK"),"Not OK")</f>
        <v>OK</v>
      </c>
      <c r="N19" s="191">
        <f>(-'4 - حساب قوة سبق الاجهاد'!$G$34/B19+'4 - حساب قوة سبق الاجهاد'!$G$34*G19/C19-I19/C19)/1000</f>
        <v>-4.559137095513524</v>
      </c>
      <c r="O19" s="338" t="str">
        <f>IF(2.5&gt;N19,IF(N19&gt;'0- المعطيات'!$I$29,"OK"),"Not OK")</f>
        <v>OK</v>
      </c>
      <c r="P19" s="191">
        <f>(-'4 - حساب قوة سبق الاجهاد'!$G$34/B19-'4 - حساب قوة سبق الاجهاد'!$G$34*G19/D19+I19/D19)/1000</f>
        <v>-4.559137095513524</v>
      </c>
      <c r="Q19" s="339" t="str">
        <f>IF(2.5&gt;P19,IF(P19&lt;'0- المعطيات'!$I$30,"OK"),"Not OK")</f>
        <v>OK</v>
      </c>
    </row>
  </sheetData>
  <mergeCells count="12">
    <mergeCell ref="J2:M2"/>
    <mergeCell ref="N2:Q2"/>
    <mergeCell ref="A1:Q1"/>
    <mergeCell ref="A2:A3"/>
    <mergeCell ref="B2:B3"/>
    <mergeCell ref="C2:C3"/>
    <mergeCell ref="D2:D3"/>
    <mergeCell ref="E2:E3"/>
    <mergeCell ref="F2:F3"/>
    <mergeCell ref="G2:G3"/>
    <mergeCell ref="H2:H3"/>
    <mergeCell ref="I2:I3"/>
  </mergeCells>
  <printOptions horizontalCentered="1" verticalCentered="1"/>
  <pageMargins left="0.7" right="0.7" top="0.75" bottom="0.75" header="0.3" footer="0.3"/>
  <pageSetup paperSize="9" scale="92" orientation="landscape" horizontalDpi="1200" verticalDpi="1200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I52"/>
  <sheetViews>
    <sheetView showGridLines="0" topLeftCell="A22" zoomScale="86" zoomScaleNormal="86" workbookViewId="0">
      <selection activeCell="F21" sqref="A21:H52"/>
    </sheetView>
  </sheetViews>
  <sheetFormatPr defaultColWidth="9" defaultRowHeight="20.25" x14ac:dyDescent="0.25"/>
  <cols>
    <col min="1" max="1" width="9" style="58"/>
    <col min="2" max="2" width="14.28515625" style="58" customWidth="1"/>
    <col min="3" max="4" width="9" style="58"/>
    <col min="5" max="5" width="11.140625" style="58" customWidth="1"/>
    <col min="6" max="6" width="12.140625" style="58" customWidth="1"/>
    <col min="7" max="7" width="16.140625" style="58" customWidth="1"/>
    <col min="8" max="8" width="14.42578125" style="58" customWidth="1"/>
    <col min="9" max="16384" width="9" style="58"/>
  </cols>
  <sheetData>
    <row r="1" spans="1:9" ht="23.25" thickBot="1" x14ac:dyDescent="0.3">
      <c r="A1" s="495" t="s">
        <v>293</v>
      </c>
      <c r="B1" s="496"/>
      <c r="C1" s="496"/>
      <c r="D1" s="496"/>
      <c r="E1" s="496"/>
      <c r="F1" s="496"/>
      <c r="G1" s="496"/>
      <c r="H1" s="497"/>
    </row>
    <row r="2" spans="1:9" ht="21" thickBot="1" x14ac:dyDescent="0.3">
      <c r="F2" s="533" t="s">
        <v>209</v>
      </c>
      <c r="G2" s="534"/>
      <c r="H2" s="535"/>
    </row>
    <row r="3" spans="1:9" ht="21" thickBot="1" x14ac:dyDescent="0.3">
      <c r="A3" s="513" t="s">
        <v>176</v>
      </c>
      <c r="B3" s="513"/>
      <c r="C3" s="513"/>
      <c r="D3" s="513"/>
      <c r="E3" s="513"/>
      <c r="F3" s="514"/>
      <c r="G3" s="515"/>
      <c r="H3" s="75">
        <v>-1</v>
      </c>
    </row>
    <row r="4" spans="1:9" x14ac:dyDescent="0.25">
      <c r="A4" s="536"/>
      <c r="B4" s="536"/>
      <c r="C4" s="536"/>
      <c r="D4" s="536"/>
      <c r="F4" s="87"/>
      <c r="G4" s="87"/>
      <c r="H4" s="87"/>
    </row>
    <row r="5" spans="1:9" x14ac:dyDescent="0.25">
      <c r="A5" s="536"/>
      <c r="B5" s="536"/>
      <c r="C5" s="536"/>
      <c r="D5" s="536"/>
    </row>
    <row r="6" spans="1:9" x14ac:dyDescent="0.25">
      <c r="A6" s="536"/>
      <c r="B6" s="537"/>
      <c r="C6" s="537"/>
      <c r="D6" s="536"/>
    </row>
    <row r="7" spans="1:9" ht="21" thickBot="1" x14ac:dyDescent="0.3">
      <c r="A7" s="65"/>
      <c r="B7" s="66">
        <f>1/2*'0- المعطيات'!$I$24*('0- المعطيات'!I32/'0- المعطيات'!I31*('4 - حساب قوة سبق الاجهاد'!$C$34/VLOOKUP(MAX('1- تحديد الأبعاد الأولية'!A21:A36),'1- تحديد الأبعاد الأولية'!A21:S35,9,FALSE))*(1+('4 - حساب قوة سبق الاجهاد'!D4)^2/('1- تحديد الأبعاد الأولية'!L25/'1- تحديد الأبعاد الأولية'!I25)))/10^6</f>
        <v>59.015933944389445</v>
      </c>
      <c r="C7" s="67" t="s">
        <v>173</v>
      </c>
    </row>
    <row r="8" spans="1:9" ht="21" thickBot="1" x14ac:dyDescent="0.3">
      <c r="A8" s="516" t="s">
        <v>211</v>
      </c>
      <c r="B8" s="517"/>
      <c r="C8" s="517"/>
      <c r="D8" s="516"/>
      <c r="E8" s="516"/>
      <c r="F8" s="516"/>
      <c r="G8" s="518"/>
      <c r="H8" s="75">
        <v>-2</v>
      </c>
    </row>
    <row r="9" spans="1:9" ht="24.75" customHeight="1" x14ac:dyDescent="0.25">
      <c r="A9" s="538" t="s">
        <v>214</v>
      </c>
      <c r="B9" s="539"/>
      <c r="C9" s="539"/>
      <c r="D9" s="539"/>
      <c r="E9" s="539"/>
      <c r="F9" s="540"/>
      <c r="H9" s="87"/>
      <c r="I9" s="87"/>
    </row>
    <row r="10" spans="1:9" ht="23.25" customHeight="1" x14ac:dyDescent="0.25">
      <c r="A10" s="538"/>
      <c r="B10" s="539"/>
      <c r="C10" s="539"/>
      <c r="D10" s="539"/>
      <c r="E10" s="539"/>
      <c r="F10" s="540"/>
    </row>
    <row r="11" spans="1:9" x14ac:dyDescent="0.25">
      <c r="A11" s="71"/>
      <c r="B11" s="72">
        <f>'9-حساب الضياعات في وسط المجاز'!B11</f>
        <v>6.3333333333333283E-2</v>
      </c>
    </row>
    <row r="12" spans="1:9" ht="21" thickBot="1" x14ac:dyDescent="0.3">
      <c r="A12" s="68"/>
      <c r="B12" s="69">
        <f>IF('0- المعطيات'!I33*('0- المعطيات'!I34*('3- مسار الكابل'!D2-VLOOKUP(MAX('1- تحديد الأبعاد الأولية'!A21:A36),'1- تحديد الأبعاد الأولية'!A21:S35,2,FALSE))+'9-حساب الضياعات في مقطع الحرج'!B11)&lt;=0.2,'0- المعطيات'!I24*'0- المعطيات'!I33*('0- المعطيات'!I34*('3- مسار الكابل'!D2-VLOOKUP(MAX('1- تحديد الأبعاد الأولية'!A21:A36),'1- تحديد الأبعاد الأولية'!A21:S35,2,FALSE))+'9-حساب الضياعات في مقطع الحرج'!B11),'0- المعطيات'!I24*(1-EXP(-'0- المعطيات'!I33*('0- المعطيات'!I34*('3- مسار الكابل'!D2-VLOOKUP(MAX('1- تحديد الأبعاد الأولية'!A21:A36),'1- تحديد الأبعاد الأولية'!A21:S35,2,FALSE))+'9-حساب الضياعات في مقطع الحرج'!B11))))</f>
        <v>41.530079999999977</v>
      </c>
      <c r="C12" s="70" t="s">
        <v>173</v>
      </c>
    </row>
    <row r="13" spans="1:9" ht="21" thickBot="1" x14ac:dyDescent="0.3">
      <c r="A13" s="518" t="s">
        <v>177</v>
      </c>
      <c r="B13" s="519"/>
      <c r="C13" s="519"/>
      <c r="D13" s="519"/>
      <c r="E13" s="519"/>
      <c r="F13" s="519"/>
      <c r="G13" s="519"/>
      <c r="H13" s="75">
        <v>-3</v>
      </c>
    </row>
    <row r="14" spans="1:9" x14ac:dyDescent="0.25">
      <c r="A14" s="523"/>
      <c r="B14" s="524"/>
      <c r="C14" s="525"/>
      <c r="D14" s="60"/>
    </row>
    <row r="15" spans="1:9" x14ac:dyDescent="0.25">
      <c r="A15" s="526"/>
      <c r="B15" s="527"/>
      <c r="C15" s="528"/>
      <c r="D15" s="60"/>
    </row>
    <row r="16" spans="1:9" x14ac:dyDescent="0.25">
      <c r="A16" s="73"/>
      <c r="B16" s="66">
        <f>'0- المعطيات'!I36/'0- المعطيات'!K13/1000*'0- المعطيات'!I32*1000</f>
        <v>13.333333333333334</v>
      </c>
      <c r="C16" s="67" t="s">
        <v>173</v>
      </c>
    </row>
    <row r="17" spans="1:8" x14ac:dyDescent="0.25">
      <c r="A17" s="59"/>
      <c r="E17" s="489" t="s">
        <v>178</v>
      </c>
      <c r="F17" s="490"/>
      <c r="G17" s="491"/>
    </row>
    <row r="18" spans="1:8" x14ac:dyDescent="0.25">
      <c r="A18" s="72"/>
      <c r="B18" s="66">
        <f>B7+B12+B16</f>
        <v>113.87934727772274</v>
      </c>
      <c r="C18" s="67" t="s">
        <v>173</v>
      </c>
    </row>
    <row r="19" spans="1:8" x14ac:dyDescent="0.25">
      <c r="A19" s="72"/>
      <c r="B19" s="74">
        <f>B18/'0- المعطيات'!$I$24</f>
        <v>7.6531819407071738E-2</v>
      </c>
      <c r="C19" s="67"/>
      <c r="D19" s="492" t="str">
        <f>IF(B18&lt;'0- المعطيات'!I25,"أصغر من الضياعات المفروضة","أكبر من الضياعات المفروضة")</f>
        <v>أصغر من الضياعات المفروضة</v>
      </c>
      <c r="E19" s="493"/>
      <c r="F19" s="493"/>
      <c r="G19" s="494"/>
    </row>
    <row r="20" spans="1:8" ht="21" thickBot="1" x14ac:dyDescent="0.3"/>
    <row r="21" spans="1:8" ht="21" thickBot="1" x14ac:dyDescent="0.3">
      <c r="F21" s="529" t="s">
        <v>396</v>
      </c>
      <c r="G21" s="530"/>
      <c r="H21" s="531"/>
    </row>
    <row r="22" spans="1:8" ht="21" thickBot="1" x14ac:dyDescent="0.3">
      <c r="A22" s="520" t="s">
        <v>182</v>
      </c>
      <c r="B22" s="521"/>
      <c r="C22" s="521"/>
      <c r="D22" s="521"/>
      <c r="E22" s="521"/>
      <c r="F22" s="522"/>
      <c r="G22" s="522"/>
      <c r="H22" s="75">
        <v>-1</v>
      </c>
    </row>
    <row r="23" spans="1:8" x14ac:dyDescent="0.25">
      <c r="A23" s="532"/>
      <c r="B23" s="504"/>
    </row>
    <row r="24" spans="1:8" ht="21" thickBot="1" x14ac:dyDescent="0.3">
      <c r="A24" s="76"/>
      <c r="B24" s="77">
        <f>'0- المعطيات'!I35</f>
        <v>70</v>
      </c>
      <c r="C24" s="78" t="s">
        <v>173</v>
      </c>
    </row>
    <row r="25" spans="1:8" ht="21" thickBot="1" x14ac:dyDescent="0.3">
      <c r="A25" s="520" t="s">
        <v>183</v>
      </c>
      <c r="B25" s="521"/>
      <c r="C25" s="521"/>
      <c r="D25" s="521"/>
      <c r="E25" s="521"/>
      <c r="F25" s="521"/>
      <c r="G25" s="521"/>
      <c r="H25" s="75">
        <v>-2</v>
      </c>
    </row>
    <row r="26" spans="1:8" x14ac:dyDescent="0.25">
      <c r="A26" s="500"/>
      <c r="B26" s="501"/>
    </row>
    <row r="27" spans="1:8" x14ac:dyDescent="0.25">
      <c r="A27" s="79"/>
      <c r="B27" s="80">
        <f>VLOOKUP(MAX('1- تحديد الأبعاد الأولية'!A21:A36),'1- تحديد الأبعاد الأولية'!A21:S35,9,FALSE)*10^6/(VLOOKUP(MAX('1- تحديد الأبعاد الأولية'!A21:A36),'1- تحديد الأبعاد الأولية'!A21:S35,4,FALSE)*2+'1- تحديد الأبعاد الأولية'!H19*2)/1000*2</f>
        <v>317.39130434782612</v>
      </c>
      <c r="C27" s="83" t="s">
        <v>27</v>
      </c>
    </row>
    <row r="28" spans="1:8" x14ac:dyDescent="0.25">
      <c r="A28" s="81"/>
      <c r="B28" s="82">
        <f>INDEX(الجداول!C3:F5,IF('0- المعطيات'!I41&lt;=7,1,IF('0- المعطيات'!I41&lt;=60,2,3)),IF('0- المعطيات'!I40="رطب",IF('9-حساب الضياعات في مقطع الحرج'!B27&lt;200,1,2),IF('9-حساب الضياعات في مقطع الحرج'!B27&lt;200,3,4)))</f>
        <v>0.3</v>
      </c>
    </row>
    <row r="29" spans="1:8" ht="21" thickBot="1" x14ac:dyDescent="0.3">
      <c r="A29" s="76"/>
      <c r="B29" s="77">
        <f>B28*'0- المعطيات'!I32</f>
        <v>60</v>
      </c>
      <c r="C29" s="78" t="s">
        <v>173</v>
      </c>
    </row>
    <row r="30" spans="1:8" ht="20.25" customHeight="1" thickBot="1" x14ac:dyDescent="0.3">
      <c r="A30" s="498" t="s">
        <v>212</v>
      </c>
      <c r="B30" s="499"/>
      <c r="C30" s="499"/>
      <c r="D30" s="499"/>
      <c r="E30" s="499"/>
      <c r="F30" s="499"/>
      <c r="G30" s="499"/>
      <c r="H30" s="75">
        <v>-3</v>
      </c>
    </row>
    <row r="31" spans="1:8" x14ac:dyDescent="0.25">
      <c r="A31" s="502"/>
      <c r="B31" s="503"/>
      <c r="C31" s="503"/>
      <c r="D31" s="504"/>
    </row>
    <row r="32" spans="1:8" x14ac:dyDescent="0.25">
      <c r="A32" s="505"/>
      <c r="B32" s="506"/>
      <c r="C32" s="506"/>
      <c r="D32" s="507"/>
    </row>
    <row r="33" spans="1:8" x14ac:dyDescent="0.25">
      <c r="A33" s="508"/>
      <c r="B33" s="509"/>
      <c r="C33" s="509"/>
      <c r="D33" s="510"/>
    </row>
    <row r="34" spans="1:8" x14ac:dyDescent="0.25">
      <c r="A34" s="502"/>
      <c r="B34" s="503"/>
      <c r="C34" s="503"/>
      <c r="D34" s="504"/>
    </row>
    <row r="35" spans="1:8" x14ac:dyDescent="0.25">
      <c r="A35" s="505"/>
      <c r="B35" s="506"/>
      <c r="C35" s="506"/>
      <c r="D35" s="507"/>
    </row>
    <row r="36" spans="1:8" x14ac:dyDescent="0.25">
      <c r="A36" s="508"/>
      <c r="B36" s="509"/>
      <c r="C36" s="509"/>
      <c r="D36" s="510"/>
    </row>
    <row r="37" spans="1:8" x14ac:dyDescent="0.25">
      <c r="A37" s="79"/>
      <c r="B37" s="84">
        <f>'0- المعطيات'!I24-'9-حساب الضياعات في مقطع الحرج'!B18</f>
        <v>1374.1206527222773</v>
      </c>
    </row>
    <row r="38" spans="1:8" x14ac:dyDescent="0.25">
      <c r="A38" s="79"/>
      <c r="B38" s="77">
        <f>('0- المعطيات'!I24-'9-حساب الضياعات في مقطع الحرج'!B18)*'4 - حساب قوة سبق الاجهاد'!C34/1000</f>
        <v>4617.0453931468519</v>
      </c>
      <c r="C38" s="78" t="s">
        <v>195</v>
      </c>
      <c r="E38" s="80"/>
      <c r="F38" s="82">
        <f>B38/'4 - حساب قوة سبق الاجهاد'!C7/1000+'9-حساب الضياعات في مقطع الحرج'!B38*'4 - حساب قوة سبق الاجهاد'!D4^2/(VLOOKUP(MAX('1- تحديد الأبعاد الأولية'!A19:A34),'1- تحديد الأبعاد الأولية'!A19:S33,12,FALSE))/1000-'9-حساب الضياعات في مقطع الحرج'!B39*'4 - حساب قوة سبق الاجهاد'!D4/(VLOOKUP(MAX('1- تحديد الأبعاد الأولية'!A19:A34),'1- تحديد الأبعاد الأولية'!A19:S33,12,FALSE))/1000</f>
        <v>11.229137072875909</v>
      </c>
    </row>
    <row r="39" spans="1:8" x14ac:dyDescent="0.25">
      <c r="A39" s="81"/>
      <c r="B39" s="85">
        <f>VLOOKUP(MAX('1- تحديد الأبعاد الأولية'!A21:A36),'1- تحديد الأبعاد الأولية'!A21:S35,16,FALSE)</f>
        <v>1737.9140625000005</v>
      </c>
      <c r="C39" s="83" t="s">
        <v>196</v>
      </c>
    </row>
    <row r="40" spans="1:8" ht="12" customHeight="1" x14ac:dyDescent="0.25">
      <c r="A40" s="63"/>
      <c r="B40" s="64"/>
      <c r="C40" s="62"/>
      <c r="D40" s="62"/>
    </row>
    <row r="41" spans="1:8" x14ac:dyDescent="0.25">
      <c r="A41" s="500"/>
      <c r="B41" s="511"/>
      <c r="C41" s="512"/>
    </row>
    <row r="42" spans="1:8" x14ac:dyDescent="0.25">
      <c r="A42" s="79"/>
      <c r="B42" s="82">
        <f>HLOOKUP('0- المعطيات'!I40,الجداول!C8:F9,2,FALSE)</f>
        <v>2.85</v>
      </c>
    </row>
    <row r="43" spans="1:8" x14ac:dyDescent="0.25">
      <c r="A43" s="82"/>
      <c r="B43" s="82">
        <f>HLOOKUP('0- المعطيات'!I41,الجداول!C11:H12,2,FALSE)</f>
        <v>1</v>
      </c>
    </row>
    <row r="44" spans="1:8" x14ac:dyDescent="0.25">
      <c r="A44" s="79"/>
      <c r="B44" s="82">
        <f>INDEX(الجداول!B17:D21,IF('0- المعطيات'!I39=0.35,1,IF('0- المعطيات'!I39=0.4,2,IF('0- المعطيات'!I39=0.5,3,IF('0- المعطيات'!I39=0.6,4,5)))),IF('0- المعطيات'!I38=500,1,IF('0- المعطيات'!I38=400,2,3)))</f>
        <v>1.2</v>
      </c>
      <c r="E44" s="80"/>
      <c r="F44" s="82">
        <f>B42*B43*B44*B45*B46</f>
        <v>2.5471565217391303</v>
      </c>
    </row>
    <row r="45" spans="1:8" x14ac:dyDescent="0.25">
      <c r="A45" s="79"/>
      <c r="B45" s="82">
        <f>IF('9-حساب الضياعات في مقطع الحرج'!B27&lt;120,(الجداول!C25-الجداول!B25)/(الجداول!C24-الجداول!B24)*('9-حساب الضياعات في مقطع الحرج'!B27-الجداول!B24)+الجداول!B25,IF('9-حساب الضياعات في مقطع الحرج'!B27&lt;200,(الجداول!D25-الجداول!C25)/(الجداول!D24-الجداول!C24)*('9-حساب الضياعات في مقطع الحرج'!B27-الجداول!C24)+الجداول!C25,IF('9-حساب الضياعات في مقطع الحرج'!B27&lt;300,(الجداول!E25-الجداول!D25)/(الجداول!E24-الجداول!D24)*('9-حساب الضياعات في مقطع الحرج'!B27-الجداول!D24)+الجداول!D25,IF('9-حساب الضياعات في مقطع الحرج'!B27&lt;400,(الجداول!F25-الجداول!E25)/(الجداول!F24-الجداول!E24)*('9-حساب الضياعات في مقطع الحرج'!B27-الجداول!E24)+الجداول!E25,IF('9-حساب الضياعات في مقطع الحرج'!B27&lt;800,(الجداول!G25-الجداول!F25)/(الجداول!G24-الجداول!F24)*('9-حساب الضياعات في مقطع الحرج'!B27-الجداول!F24)+الجداول!F25,0.7)))))</f>
        <v>0.74478260869565216</v>
      </c>
    </row>
    <row r="46" spans="1:8" x14ac:dyDescent="0.25">
      <c r="A46" s="79"/>
      <c r="B46" s="84">
        <f>HLOOKUP('0- المعطيات'!I37,الجداول!A28:E32,IF(B27&lt;150,1,IF(B27&lt;300,2,IF(B27&lt;600,3,4))),TRUE)</f>
        <v>1</v>
      </c>
    </row>
    <row r="47" spans="1:8" x14ac:dyDescent="0.25">
      <c r="A47" s="79"/>
      <c r="B47" s="80">
        <f>'0- المعطيات'!I32/'0- المعطيات'!I31*'9-حساب الضياعات في مقطع الحرج'!F44*'9-حساب الضياعات في مقطع الحرج'!F38*(1-'0- المعطيات'!I32/'0- المعطيات'!I31*'9-حساب الضياعات في مقطع الحرج'!F44*'9-حساب الضياعات في مقطع الحرج'!F38/2/'9-حساب الضياعات في مقطع الحرج'!B37)</f>
        <v>167.1366988482178</v>
      </c>
      <c r="C47" s="83" t="s">
        <v>173</v>
      </c>
    </row>
    <row r="48" spans="1:8" x14ac:dyDescent="0.25">
      <c r="E48" s="489" t="s">
        <v>213</v>
      </c>
      <c r="F48" s="490"/>
      <c r="G48" s="491"/>
      <c r="H48" s="61"/>
    </row>
    <row r="49" spans="1:7" x14ac:dyDescent="0.25">
      <c r="A49" s="79"/>
      <c r="B49" s="80">
        <f>B47+B29+B24</f>
        <v>297.1366988482178</v>
      </c>
      <c r="C49" s="83" t="s">
        <v>173</v>
      </c>
    </row>
    <row r="50" spans="1:7" x14ac:dyDescent="0.25">
      <c r="A50" s="82"/>
      <c r="B50" s="86">
        <f>B49/'0- المعطيات'!$I$24</f>
        <v>0.19968864169907111</v>
      </c>
      <c r="C50" s="83"/>
      <c r="D50" s="492" t="str">
        <f>IF(B49&lt;'0- المعطيات'!I26,"أصغر من الضياعات المفروضة","أكبر من الضياعات المفروضة")</f>
        <v>أصغر من الضياعات المفروضة</v>
      </c>
      <c r="E50" s="493"/>
      <c r="F50" s="493"/>
      <c r="G50" s="494"/>
    </row>
    <row r="52" spans="1:7" x14ac:dyDescent="0.25">
      <c r="A52" s="97"/>
      <c r="B52" s="98">
        <f>B50+B19</f>
        <v>0.27622046110614284</v>
      </c>
      <c r="C52" s="99"/>
    </row>
  </sheetData>
  <mergeCells count="22">
    <mergeCell ref="A23:B23"/>
    <mergeCell ref="F2:H2"/>
    <mergeCell ref="E17:G17"/>
    <mergeCell ref="A4:D6"/>
    <mergeCell ref="A9:F9"/>
    <mergeCell ref="A10:F10"/>
    <mergeCell ref="E48:G48"/>
    <mergeCell ref="D50:G50"/>
    <mergeCell ref="A1:H1"/>
    <mergeCell ref="A30:G30"/>
    <mergeCell ref="A26:B26"/>
    <mergeCell ref="A31:D33"/>
    <mergeCell ref="A34:D36"/>
    <mergeCell ref="A41:C41"/>
    <mergeCell ref="A3:G3"/>
    <mergeCell ref="A8:G8"/>
    <mergeCell ref="A13:G13"/>
    <mergeCell ref="A22:G22"/>
    <mergeCell ref="A25:G25"/>
    <mergeCell ref="A14:C15"/>
    <mergeCell ref="D19:G19"/>
    <mergeCell ref="F21:H21"/>
  </mergeCells>
  <printOptions horizontalCentered="1" verticalCentered="1"/>
  <pageMargins left="1.9291338582677167" right="0.70866141732283472" top="0.82677165354330717" bottom="1.2598425196850394" header="0.31496062992125984" footer="0.31496062992125984"/>
  <pageSetup paperSize="9" scale="42" orientation="landscape" horizontalDpi="2400" verticalDpi="240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H52"/>
  <sheetViews>
    <sheetView showGridLines="0" topLeftCell="A16" zoomScale="70" zoomScaleNormal="70" workbookViewId="0">
      <selection activeCell="F21" sqref="A21:H52"/>
    </sheetView>
  </sheetViews>
  <sheetFormatPr defaultRowHeight="15" x14ac:dyDescent="0.25"/>
  <cols>
    <col min="2" max="2" width="20.42578125" bestFit="1" customWidth="1"/>
    <col min="3" max="3" width="13.85546875" customWidth="1"/>
    <col min="4" max="4" width="8.28515625" customWidth="1"/>
    <col min="7" max="7" width="17.7109375" customWidth="1"/>
    <col min="8" max="8" width="16.140625" customWidth="1"/>
  </cols>
  <sheetData>
    <row r="1" spans="1:8" ht="23.25" thickBot="1" x14ac:dyDescent="0.3">
      <c r="A1" s="495" t="s">
        <v>215</v>
      </c>
      <c r="B1" s="496"/>
      <c r="C1" s="496"/>
      <c r="D1" s="496"/>
      <c r="E1" s="496"/>
      <c r="F1" s="496"/>
      <c r="G1" s="496"/>
      <c r="H1" s="497"/>
    </row>
    <row r="2" spans="1:8" ht="21" thickBot="1" x14ac:dyDescent="0.3">
      <c r="A2" s="87"/>
      <c r="B2" s="87"/>
      <c r="C2" s="87"/>
      <c r="D2" s="87"/>
      <c r="E2" s="87"/>
      <c r="F2" s="533" t="s">
        <v>209</v>
      </c>
      <c r="G2" s="534"/>
      <c r="H2" s="535"/>
    </row>
    <row r="3" spans="1:8" ht="21" thickBot="1" x14ac:dyDescent="0.3">
      <c r="A3" s="513" t="s">
        <v>176</v>
      </c>
      <c r="B3" s="513"/>
      <c r="C3" s="513"/>
      <c r="D3" s="513"/>
      <c r="E3" s="513"/>
      <c r="F3" s="514"/>
      <c r="G3" s="515"/>
      <c r="H3" s="75">
        <v>-1</v>
      </c>
    </row>
    <row r="4" spans="1:8" ht="20.25" x14ac:dyDescent="0.25">
      <c r="A4" s="536"/>
      <c r="B4" s="536"/>
      <c r="C4" s="536"/>
      <c r="D4" s="536"/>
      <c r="E4" s="87"/>
      <c r="F4" s="87"/>
      <c r="G4" s="87"/>
      <c r="H4" s="87"/>
    </row>
    <row r="5" spans="1:8" ht="20.25" x14ac:dyDescent="0.25">
      <c r="A5" s="536"/>
      <c r="B5" s="536"/>
      <c r="C5" s="536"/>
      <c r="D5" s="536"/>
      <c r="E5" s="87"/>
      <c r="F5" s="87"/>
      <c r="G5" s="87"/>
      <c r="H5" s="87"/>
    </row>
    <row r="6" spans="1:8" ht="20.25" x14ac:dyDescent="0.25">
      <c r="A6" s="536"/>
      <c r="B6" s="537"/>
      <c r="C6" s="537"/>
      <c r="D6" s="536"/>
      <c r="E6" s="87"/>
      <c r="F6" s="87"/>
      <c r="G6" s="87"/>
      <c r="H6" s="87"/>
    </row>
    <row r="7" spans="1:8" ht="21" thickBot="1" x14ac:dyDescent="0.3">
      <c r="A7" s="65"/>
      <c r="B7" s="95">
        <f>1/2*'0- المعطيات'!$I$24*('0- المعطيات'!I32/'0- المعطيات'!I31*('4 - حساب قوة سبق الاجهاد'!$C$34/'1- تحديد الأبعاد الأولية'!I19)*(1+('1- تحديد الأبعاد الأولية'!K19-'3- مسار الكابل'!B6)^2/('1- تحديد الأبعاد الأولية'!L19/'1- تحديد الأبعاد الأولية'!I19)))/10^6</f>
        <v>60.290928007281167</v>
      </c>
      <c r="C7" s="96" t="s">
        <v>173</v>
      </c>
      <c r="D7" s="87"/>
      <c r="E7" s="87"/>
      <c r="F7" s="87"/>
      <c r="G7" s="87"/>
      <c r="H7" s="87"/>
    </row>
    <row r="8" spans="1:8" ht="21" thickBot="1" x14ac:dyDescent="0.3">
      <c r="A8" s="516" t="s">
        <v>211</v>
      </c>
      <c r="B8" s="517"/>
      <c r="C8" s="517"/>
      <c r="D8" s="516"/>
      <c r="E8" s="516"/>
      <c r="F8" s="516"/>
      <c r="G8" s="518"/>
      <c r="H8" s="75">
        <v>-2</v>
      </c>
    </row>
    <row r="9" spans="1:8" ht="20.25" x14ac:dyDescent="0.25">
      <c r="A9" s="538" t="s">
        <v>214</v>
      </c>
      <c r="B9" s="539"/>
      <c r="C9" s="539"/>
      <c r="D9" s="539"/>
      <c r="E9" s="539"/>
      <c r="F9" s="540"/>
      <c r="G9" s="87"/>
      <c r="H9" s="87"/>
    </row>
    <row r="10" spans="1:8" ht="20.25" x14ac:dyDescent="0.25">
      <c r="A10" s="538"/>
      <c r="B10" s="539"/>
      <c r="C10" s="539"/>
      <c r="D10" s="539"/>
      <c r="E10" s="539"/>
      <c r="F10" s="540"/>
      <c r="G10" s="87"/>
      <c r="H10" s="87"/>
    </row>
    <row r="11" spans="1:8" ht="20.25" x14ac:dyDescent="0.25">
      <c r="A11" s="71"/>
      <c r="B11" s="94">
        <f>'3- مسار الكابل'!B2/'3- مسار الكابل'!D2^2*2*('3- مسار الكابل'!D2)</f>
        <v>6.3333333333333283E-2</v>
      </c>
      <c r="C11" s="87"/>
      <c r="D11" s="87"/>
      <c r="E11" s="87"/>
      <c r="F11" s="87"/>
      <c r="G11" s="87"/>
      <c r="H11" s="87"/>
    </row>
    <row r="12" spans="1:8" ht="21" thickBot="1" x14ac:dyDescent="0.3">
      <c r="A12" s="68"/>
      <c r="B12" s="91">
        <f>IF('0- المعطيات'!I33*('0- المعطيات'!I34*'3- مسار الكابل'!D2+B11)&lt;=0.2,'0- المعطيات'!I24*'0- المعطيات'!I33*('0- المعطيات'!I34*'3- مسار الكابل'!D2+B11),'0- المعطيات'!I24*(1-EXP(-'0- المعطيات'!I33*('0- المعطيات'!I34*'3- مسار الكابل'!D2+B11))))</f>
        <v>50.368799999999979</v>
      </c>
      <c r="C12" s="92" t="s">
        <v>173</v>
      </c>
      <c r="D12" s="87"/>
      <c r="E12" s="87"/>
      <c r="F12" s="87"/>
      <c r="G12" s="87"/>
      <c r="H12" s="87"/>
    </row>
    <row r="13" spans="1:8" ht="21" thickBot="1" x14ac:dyDescent="0.3">
      <c r="A13" s="518" t="s">
        <v>177</v>
      </c>
      <c r="B13" s="519"/>
      <c r="C13" s="519"/>
      <c r="D13" s="519"/>
      <c r="E13" s="519"/>
      <c r="F13" s="519"/>
      <c r="G13" s="519"/>
      <c r="H13" s="75">
        <v>-3</v>
      </c>
    </row>
    <row r="14" spans="1:8" ht="20.25" x14ac:dyDescent="0.25">
      <c r="A14" s="523"/>
      <c r="B14" s="524"/>
      <c r="C14" s="525"/>
      <c r="D14" s="60"/>
      <c r="E14" s="87"/>
      <c r="F14" s="87"/>
      <c r="G14" s="87"/>
      <c r="H14" s="87"/>
    </row>
    <row r="15" spans="1:8" ht="20.25" x14ac:dyDescent="0.25">
      <c r="A15" s="526"/>
      <c r="B15" s="527"/>
      <c r="C15" s="528"/>
      <c r="D15" s="60"/>
      <c r="E15" s="87"/>
      <c r="F15" s="87"/>
      <c r="G15" s="87"/>
      <c r="H15" s="87"/>
    </row>
    <row r="16" spans="1:8" ht="20.25" x14ac:dyDescent="0.25">
      <c r="A16" s="73"/>
      <c r="B16" s="95">
        <f>'0- المعطيات'!I36/'0- المعطيات'!K13/1000*'0- المعطيات'!I32*1000</f>
        <v>13.333333333333334</v>
      </c>
      <c r="C16" s="96" t="s">
        <v>173</v>
      </c>
      <c r="D16" s="87"/>
      <c r="E16" s="87"/>
      <c r="F16" s="87"/>
      <c r="G16" s="87"/>
      <c r="H16" s="87"/>
    </row>
    <row r="17" spans="1:8" ht="20.25" x14ac:dyDescent="0.25">
      <c r="A17" s="59"/>
      <c r="B17" s="87"/>
      <c r="C17" s="87"/>
      <c r="D17" s="87"/>
      <c r="E17" s="541" t="s">
        <v>178</v>
      </c>
      <c r="F17" s="542"/>
      <c r="G17" s="543"/>
      <c r="H17" s="87"/>
    </row>
    <row r="18" spans="1:8" ht="20.25" x14ac:dyDescent="0.25">
      <c r="A18" s="94"/>
      <c r="B18" s="95">
        <f>B7+B12+B16</f>
        <v>123.99306134061447</v>
      </c>
      <c r="C18" s="96" t="s">
        <v>173</v>
      </c>
      <c r="D18" s="87"/>
      <c r="E18" s="87"/>
      <c r="F18" s="87"/>
      <c r="G18" s="87"/>
      <c r="H18" s="87"/>
    </row>
    <row r="19" spans="1:8" ht="20.25" x14ac:dyDescent="0.25">
      <c r="A19" s="94"/>
      <c r="B19" s="74">
        <f>B18/'0- المعطيات'!$I$24</f>
        <v>8.33286702557893E-2</v>
      </c>
      <c r="C19" s="96"/>
      <c r="D19" s="492" t="str">
        <f>IF(B18&lt;'0- المعطيات'!I25,"أصغر من الضياعات المفروضة","أكبر من الضياعات المفروضة")</f>
        <v>أصغر من الضياعات المفروضة</v>
      </c>
      <c r="E19" s="493"/>
      <c r="F19" s="493"/>
      <c r="G19" s="494"/>
      <c r="H19" s="87"/>
    </row>
    <row r="20" spans="1:8" ht="21" thickBot="1" x14ac:dyDescent="0.3">
      <c r="A20" s="87"/>
      <c r="B20" s="87"/>
      <c r="C20" s="87"/>
      <c r="D20" s="87"/>
      <c r="E20" s="87"/>
      <c r="F20" s="87"/>
      <c r="G20" s="87"/>
      <c r="H20" s="87"/>
    </row>
    <row r="21" spans="1:8" ht="21" thickBot="1" x14ac:dyDescent="0.3">
      <c r="A21" s="87"/>
      <c r="B21" s="87"/>
      <c r="C21" s="87"/>
      <c r="D21" s="87"/>
      <c r="E21" s="87"/>
      <c r="F21" s="529" t="s">
        <v>210</v>
      </c>
      <c r="G21" s="530"/>
      <c r="H21" s="531"/>
    </row>
    <row r="22" spans="1:8" ht="21" thickBot="1" x14ac:dyDescent="0.3">
      <c r="A22" s="520" t="s">
        <v>182</v>
      </c>
      <c r="B22" s="521"/>
      <c r="C22" s="521"/>
      <c r="D22" s="521"/>
      <c r="E22" s="521"/>
      <c r="F22" s="522"/>
      <c r="G22" s="522"/>
      <c r="H22" s="75">
        <v>-1</v>
      </c>
    </row>
    <row r="23" spans="1:8" ht="20.25" x14ac:dyDescent="0.25">
      <c r="A23" s="532"/>
      <c r="B23" s="504"/>
      <c r="C23" s="87"/>
      <c r="D23" s="87"/>
      <c r="E23" s="87"/>
      <c r="F23" s="87"/>
      <c r="G23" s="87"/>
      <c r="H23" s="87"/>
    </row>
    <row r="24" spans="1:8" ht="21" thickBot="1" x14ac:dyDescent="0.3">
      <c r="A24" s="76"/>
      <c r="B24" s="89">
        <f>'0- المعطيات'!I35</f>
        <v>70</v>
      </c>
      <c r="C24" s="90" t="s">
        <v>173</v>
      </c>
      <c r="D24" s="87"/>
      <c r="E24" s="87"/>
      <c r="F24" s="87"/>
      <c r="G24" s="87"/>
      <c r="H24" s="87"/>
    </row>
    <row r="25" spans="1:8" ht="21" thickBot="1" x14ac:dyDescent="0.3">
      <c r="A25" s="520" t="s">
        <v>183</v>
      </c>
      <c r="B25" s="521"/>
      <c r="C25" s="521"/>
      <c r="D25" s="521"/>
      <c r="E25" s="521"/>
      <c r="F25" s="521"/>
      <c r="G25" s="521"/>
      <c r="H25" s="75">
        <v>-2</v>
      </c>
    </row>
    <row r="26" spans="1:8" ht="20.25" x14ac:dyDescent="0.25">
      <c r="A26" s="500"/>
      <c r="B26" s="501"/>
      <c r="C26" s="87"/>
      <c r="D26" s="87"/>
      <c r="E26" s="87"/>
      <c r="F26" s="87"/>
      <c r="G26" s="87"/>
      <c r="H26" s="87"/>
    </row>
    <row r="27" spans="1:8" ht="20.25" x14ac:dyDescent="0.25">
      <c r="A27" s="79"/>
      <c r="B27" s="93">
        <f>'1- تحديد الأبعاد الأولية'!I19*2*10^6/('1- تحديد الأبعاد الأولية'!D19*2+'1- تحديد الأبعاد الأولية'!H19*2)/1000</f>
        <v>326.92307692307696</v>
      </c>
      <c r="C27" s="83" t="s">
        <v>27</v>
      </c>
      <c r="D27" s="87"/>
      <c r="E27" s="87"/>
      <c r="F27" s="87"/>
      <c r="G27" s="87"/>
      <c r="H27" s="87"/>
    </row>
    <row r="28" spans="1:8" ht="20.25" x14ac:dyDescent="0.25">
      <c r="A28" s="88"/>
      <c r="B28" s="82">
        <f>INDEX(الجداول!C3:F5,IF('0- المعطيات'!I41&lt;=7,1,IF('0- المعطيات'!I41&lt;=60,2,3)),IF('0- المعطيات'!I40="رطب",IF(B27&lt;200,1,2),IF(B27&lt;200,3,4)))</f>
        <v>0.3</v>
      </c>
      <c r="C28" s="87"/>
      <c r="D28" s="87"/>
      <c r="E28" s="87"/>
      <c r="F28" s="87"/>
      <c r="G28" s="87"/>
      <c r="H28" s="87"/>
    </row>
    <row r="29" spans="1:8" ht="21" thickBot="1" x14ac:dyDescent="0.3">
      <c r="A29" s="76"/>
      <c r="B29" s="89">
        <f>B28*'0- المعطيات'!I32</f>
        <v>60</v>
      </c>
      <c r="C29" s="90" t="s">
        <v>173</v>
      </c>
      <c r="D29" s="87"/>
      <c r="E29" s="87"/>
      <c r="F29" s="87"/>
      <c r="G29" s="87"/>
      <c r="H29" s="87"/>
    </row>
    <row r="30" spans="1:8" ht="21" thickBot="1" x14ac:dyDescent="0.3">
      <c r="A30" s="498" t="s">
        <v>212</v>
      </c>
      <c r="B30" s="499"/>
      <c r="C30" s="499"/>
      <c r="D30" s="499"/>
      <c r="E30" s="499"/>
      <c r="F30" s="499"/>
      <c r="G30" s="499"/>
      <c r="H30" s="75">
        <v>-3</v>
      </c>
    </row>
    <row r="31" spans="1:8" ht="20.25" x14ac:dyDescent="0.25">
      <c r="A31" s="502"/>
      <c r="B31" s="503"/>
      <c r="C31" s="503"/>
      <c r="D31" s="504"/>
      <c r="E31" s="87"/>
      <c r="F31" s="87"/>
      <c r="G31" s="87"/>
      <c r="H31" s="87"/>
    </row>
    <row r="32" spans="1:8" ht="20.25" x14ac:dyDescent="0.25">
      <c r="A32" s="505"/>
      <c r="B32" s="506"/>
      <c r="C32" s="506"/>
      <c r="D32" s="507"/>
      <c r="E32" s="87"/>
      <c r="F32" s="87"/>
      <c r="G32" s="87"/>
      <c r="H32" s="87"/>
    </row>
    <row r="33" spans="1:8" ht="20.25" x14ac:dyDescent="0.25">
      <c r="A33" s="508"/>
      <c r="B33" s="509"/>
      <c r="C33" s="509"/>
      <c r="D33" s="510"/>
      <c r="E33" s="87"/>
      <c r="F33" s="87"/>
      <c r="G33" s="87"/>
      <c r="H33" s="87"/>
    </row>
    <row r="34" spans="1:8" ht="20.25" x14ac:dyDescent="0.25">
      <c r="A34" s="502"/>
      <c r="B34" s="503"/>
      <c r="C34" s="503"/>
      <c r="D34" s="504"/>
      <c r="E34" s="87"/>
      <c r="F34" s="87"/>
      <c r="G34" s="87"/>
      <c r="H34" s="87"/>
    </row>
    <row r="35" spans="1:8" ht="20.25" x14ac:dyDescent="0.25">
      <c r="A35" s="505"/>
      <c r="B35" s="506"/>
      <c r="C35" s="506"/>
      <c r="D35" s="507"/>
      <c r="E35" s="87"/>
      <c r="F35" s="87"/>
      <c r="G35" s="87"/>
      <c r="H35" s="87"/>
    </row>
    <row r="36" spans="1:8" ht="20.25" x14ac:dyDescent="0.25">
      <c r="A36" s="508"/>
      <c r="B36" s="509"/>
      <c r="C36" s="509"/>
      <c r="D36" s="510"/>
      <c r="E36" s="87"/>
      <c r="F36" s="87"/>
      <c r="G36" s="87"/>
      <c r="H36" s="87"/>
    </row>
    <row r="37" spans="1:8" ht="20.25" x14ac:dyDescent="0.25">
      <c r="A37" s="79"/>
      <c r="B37" s="84">
        <f>'0- المعطيات'!I24-B18</f>
        <v>1364.0069386593855</v>
      </c>
      <c r="C37" s="87"/>
      <c r="D37" s="87"/>
      <c r="E37" s="87"/>
      <c r="F37" s="87"/>
      <c r="G37" s="87"/>
      <c r="H37" s="87"/>
    </row>
    <row r="38" spans="1:8" ht="20.25" x14ac:dyDescent="0.25">
      <c r="A38" s="79"/>
      <c r="B38" s="89">
        <f>('0- المعطيات'!I24-B18)*'4 - حساب قوة سبق الاجهاد'!C34/1000</f>
        <v>4583.0633138955345</v>
      </c>
      <c r="C38" s="90" t="s">
        <v>195</v>
      </c>
      <c r="D38" s="87"/>
      <c r="E38" s="93"/>
      <c r="F38" s="82">
        <f>B38/'1- تحديد الأبعاد الأولية'!I19/1000+B38*('1- تحديد الأبعاد الأولية'!K19-'3- مسار الكابل'!B6)^2/'1- تحديد الأبعاد الأولية'!L19/1000-B39*('1- تحديد الأبعاد الأولية'!K19-'3- مسار الكابل'!B6)/'1- تحديد الأبعاد الأولية'!L19/1000</f>
        <v>11.529121331036185</v>
      </c>
      <c r="G38" s="87"/>
      <c r="H38" s="87"/>
    </row>
    <row r="39" spans="1:8" ht="20.25" x14ac:dyDescent="0.25">
      <c r="A39" s="88"/>
      <c r="B39" s="85">
        <f>'2-تحديد الحمولات'!C9</f>
        <v>2068.9453125000005</v>
      </c>
      <c r="C39" s="83" t="s">
        <v>196</v>
      </c>
      <c r="D39" s="87"/>
      <c r="E39" s="87"/>
      <c r="F39" s="87"/>
      <c r="G39" s="87"/>
      <c r="H39" s="87"/>
    </row>
    <row r="40" spans="1:8" ht="20.25" x14ac:dyDescent="0.25">
      <c r="A40" s="63"/>
      <c r="B40" s="64"/>
      <c r="C40" s="62"/>
      <c r="D40" s="62"/>
      <c r="E40" s="87"/>
      <c r="F40" s="87"/>
      <c r="G40" s="87"/>
      <c r="H40" s="87"/>
    </row>
    <row r="41" spans="1:8" ht="20.25" x14ac:dyDescent="0.25">
      <c r="A41" s="500"/>
      <c r="B41" s="511"/>
      <c r="C41" s="512"/>
      <c r="D41" s="87"/>
      <c r="E41" s="87"/>
      <c r="F41" s="87"/>
      <c r="G41" s="87"/>
      <c r="H41" s="87"/>
    </row>
    <row r="42" spans="1:8" ht="20.25" x14ac:dyDescent="0.25">
      <c r="A42" s="79"/>
      <c r="B42" s="82">
        <f>HLOOKUP('0- المعطيات'!I40,الجداول!C8:F9,2,FALSE)</f>
        <v>2.85</v>
      </c>
      <c r="C42" s="87"/>
      <c r="D42" s="87"/>
      <c r="E42" s="87"/>
      <c r="F42" s="87"/>
      <c r="G42" s="87"/>
      <c r="H42" s="87"/>
    </row>
    <row r="43" spans="1:8" ht="20.25" x14ac:dyDescent="0.25">
      <c r="A43" s="82"/>
      <c r="B43" s="82">
        <f>HLOOKUP('0- المعطيات'!I41,الجداول!C11:H12,2,FALSE)</f>
        <v>1</v>
      </c>
      <c r="C43" s="87"/>
      <c r="D43" s="87"/>
      <c r="E43" s="87"/>
      <c r="F43" s="87"/>
      <c r="G43" s="87"/>
      <c r="H43" s="87"/>
    </row>
    <row r="44" spans="1:8" ht="20.25" x14ac:dyDescent="0.25">
      <c r="A44" s="79"/>
      <c r="B44" s="82">
        <f>INDEX(الجداول!B17:D21,IF('0- المعطيات'!I39=0.35,1,IF('0- المعطيات'!I39=0.4,2,IF('0- المعطيات'!I39=0.5,3,IF('0- المعطيات'!I39=0.6,4,5)))),IF('0- المعطيات'!I38=500,1,IF('0- المعطيات'!I38=400,2,3)))</f>
        <v>1.2</v>
      </c>
      <c r="C44" s="87"/>
      <c r="D44" s="87"/>
      <c r="E44" s="93"/>
      <c r="F44" s="82">
        <f>B42*B43*B44*B45*B46</f>
        <v>2.537376923076923</v>
      </c>
      <c r="G44" s="87"/>
      <c r="H44" s="87"/>
    </row>
    <row r="45" spans="1:8" ht="20.25" x14ac:dyDescent="0.25">
      <c r="A45" s="79"/>
      <c r="B45" s="82">
        <f>IF(B27&lt;120,(الجداول!C25-الجداول!B25)/(الجداول!C24-الجداول!B24)*(B27-الجداول!B24)+الجداول!B25,IF(B27&lt;200,(الجداول!D25-الجداول!C25)/(الجداول!D24-الجداول!C24)*(B27-الجداول!C24)+الجداول!C25,IF(B27&lt;300,(الجداول!E25-الجداول!D25)/(الجداول!E24-الجداول!D24)*(B27-الجداول!D24)+الجداول!D25,IF(B27&lt;400,(الجداول!F25-الجداول!E25)/(الجداول!F24-الجداول!E24)*(B27-الجداول!E24)+الجداول!E25,IF(B27&lt;800,(الجداول!G25-الجداول!F25)/(الجداول!G24-الجداول!F24)*(B27-الجداول!F24)+الجداول!F25,0.7)))))</f>
        <v>0.74192307692307691</v>
      </c>
      <c r="C45" s="87"/>
      <c r="D45" s="87"/>
      <c r="E45" s="87"/>
      <c r="F45" s="87"/>
      <c r="G45" s="87"/>
      <c r="H45" s="87"/>
    </row>
    <row r="46" spans="1:8" ht="20.25" x14ac:dyDescent="0.25">
      <c r="A46" s="79"/>
      <c r="B46" s="84">
        <f>HLOOKUP('0- المعطيات'!I37,الجداول!A28:E32,IF(B27&lt;150,1,IF(B27&lt;300,2,IF(B27&lt;600,3,4))),TRUE)</f>
        <v>1</v>
      </c>
      <c r="C46" s="87"/>
      <c r="D46" s="87"/>
      <c r="E46" s="87"/>
      <c r="F46" s="87"/>
      <c r="G46" s="87"/>
      <c r="H46" s="87"/>
    </row>
    <row r="47" spans="1:8" ht="20.25" x14ac:dyDescent="0.25">
      <c r="A47" s="79"/>
      <c r="B47" s="93">
        <f>'0- المعطيات'!I32/'0- المعطيات'!I31*F44*F38*(1-'0- المعطيات'!I32/'0- المعطيات'!I31*F44*F38/2/B37)</f>
        <v>170.58184721252542</v>
      </c>
      <c r="C47" s="83" t="s">
        <v>173</v>
      </c>
      <c r="D47" s="87"/>
      <c r="E47" s="87"/>
      <c r="F47" s="87"/>
      <c r="G47" s="87"/>
      <c r="H47" s="87"/>
    </row>
    <row r="48" spans="1:8" ht="20.25" x14ac:dyDescent="0.25">
      <c r="A48" s="87"/>
      <c r="B48" s="87"/>
      <c r="C48" s="87"/>
      <c r="D48" s="87"/>
      <c r="E48" s="541" t="s">
        <v>213</v>
      </c>
      <c r="F48" s="542"/>
      <c r="G48" s="543"/>
      <c r="H48" s="61"/>
    </row>
    <row r="49" spans="1:8" ht="20.25" x14ac:dyDescent="0.25">
      <c r="A49" s="79"/>
      <c r="B49" s="93">
        <f>B47+B29+B24</f>
        <v>300.58184721252542</v>
      </c>
      <c r="C49" s="83" t="s">
        <v>173</v>
      </c>
      <c r="D49" s="87"/>
      <c r="E49" s="87"/>
      <c r="F49" s="87"/>
      <c r="G49" s="87"/>
      <c r="H49" s="87"/>
    </row>
    <row r="50" spans="1:8" ht="20.25" x14ac:dyDescent="0.25">
      <c r="A50" s="82"/>
      <c r="B50" s="86">
        <f>B49/'0- المعطيات'!$I$24</f>
        <v>0.20200392957831009</v>
      </c>
      <c r="C50" s="83"/>
      <c r="D50" s="492" t="str">
        <f>IF(B49&lt;'0- المعطيات'!I26,"أصغر من الضياعات المفروضة","أكبر من الضياعات المفروضة")</f>
        <v>أكبر من الضياعات المفروضة</v>
      </c>
      <c r="E50" s="493"/>
      <c r="F50" s="493"/>
      <c r="G50" s="494"/>
      <c r="H50" s="87"/>
    </row>
    <row r="52" spans="1:8" ht="20.25" x14ac:dyDescent="0.25">
      <c r="A52" s="79"/>
      <c r="B52" s="86">
        <f>B50+B19</f>
        <v>0.28533259983409942</v>
      </c>
      <c r="C52" s="83"/>
    </row>
  </sheetData>
  <mergeCells count="22">
    <mergeCell ref="F21:H21"/>
    <mergeCell ref="A1:H1"/>
    <mergeCell ref="F2:H2"/>
    <mergeCell ref="A3:G3"/>
    <mergeCell ref="A4:D6"/>
    <mergeCell ref="A8:G8"/>
    <mergeCell ref="A9:F9"/>
    <mergeCell ref="A10:F10"/>
    <mergeCell ref="A13:G13"/>
    <mergeCell ref="A14:C15"/>
    <mergeCell ref="E17:G17"/>
    <mergeCell ref="D19:G19"/>
    <mergeCell ref="A34:D36"/>
    <mergeCell ref="A41:C41"/>
    <mergeCell ref="E48:G48"/>
    <mergeCell ref="D50:G50"/>
    <mergeCell ref="A22:G22"/>
    <mergeCell ref="A23:B23"/>
    <mergeCell ref="A25:G25"/>
    <mergeCell ref="A26:B26"/>
    <mergeCell ref="A30:G30"/>
    <mergeCell ref="A31:D33"/>
  </mergeCells>
  <printOptions horizontalCentered="1" verticalCentered="1"/>
  <pageMargins left="0.7" right="0.7" top="0.75" bottom="0.75" header="0.3" footer="0.3"/>
  <pageSetup paperSize="9" scale="46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35"/>
  <sheetViews>
    <sheetView workbookViewId="0">
      <selection activeCell="J14" sqref="J14"/>
    </sheetView>
  </sheetViews>
  <sheetFormatPr defaultColWidth="9" defaultRowHeight="14.25" x14ac:dyDescent="0.25"/>
  <cols>
    <col min="1" max="2" width="9" style="59"/>
    <col min="3" max="3" width="10.42578125" style="59" customWidth="1"/>
    <col min="4" max="4" width="10.140625" style="59" customWidth="1"/>
    <col min="5" max="5" width="9.7109375" style="59" customWidth="1"/>
    <col min="6" max="6" width="10.140625" style="59" customWidth="1"/>
    <col min="7" max="16384" width="9" style="59"/>
  </cols>
  <sheetData>
    <row r="1" spans="1:13" ht="20.25" x14ac:dyDescent="0.25">
      <c r="A1" s="545" t="s">
        <v>192</v>
      </c>
      <c r="B1" s="340" t="s">
        <v>184</v>
      </c>
      <c r="C1" s="544" t="s">
        <v>194</v>
      </c>
      <c r="D1" s="544"/>
      <c r="E1" s="544" t="s">
        <v>193</v>
      </c>
      <c r="F1" s="544"/>
      <c r="G1" s="102"/>
      <c r="H1" s="102"/>
      <c r="I1" s="102"/>
      <c r="J1" s="102"/>
      <c r="K1" s="102"/>
      <c r="L1" s="102"/>
      <c r="M1" s="102"/>
    </row>
    <row r="2" spans="1:13" ht="42" customHeight="1" x14ac:dyDescent="0.25">
      <c r="A2" s="546"/>
      <c r="B2" s="341" t="s">
        <v>185</v>
      </c>
      <c r="C2" s="334" t="s">
        <v>190</v>
      </c>
      <c r="D2" s="334" t="s">
        <v>191</v>
      </c>
      <c r="E2" s="334" t="s">
        <v>190</v>
      </c>
      <c r="F2" s="334" t="s">
        <v>191</v>
      </c>
      <c r="G2" s="102"/>
      <c r="H2" s="102"/>
      <c r="I2" s="102"/>
      <c r="J2" s="102"/>
      <c r="K2" s="102"/>
      <c r="L2" s="102"/>
      <c r="M2" s="102"/>
    </row>
    <row r="3" spans="1:13" ht="20.25" x14ac:dyDescent="0.25">
      <c r="A3" s="551" t="s">
        <v>186</v>
      </c>
      <c r="B3" s="342" t="s">
        <v>187</v>
      </c>
      <c r="C3" s="82">
        <v>0.26</v>
      </c>
      <c r="D3" s="82">
        <v>0.21</v>
      </c>
      <c r="E3" s="82">
        <v>0.47</v>
      </c>
      <c r="F3" s="82">
        <v>0.31</v>
      </c>
      <c r="G3" s="102"/>
      <c r="H3" s="102"/>
      <c r="I3" s="102"/>
      <c r="J3" s="102"/>
      <c r="K3" s="102"/>
      <c r="L3" s="102"/>
      <c r="M3" s="102"/>
    </row>
    <row r="4" spans="1:13" ht="20.25" x14ac:dyDescent="0.25">
      <c r="A4" s="551"/>
      <c r="B4" s="342" t="s">
        <v>188</v>
      </c>
      <c r="C4" s="82">
        <v>0.23</v>
      </c>
      <c r="D4" s="82">
        <v>0.21</v>
      </c>
      <c r="E4" s="82">
        <v>0.32</v>
      </c>
      <c r="F4" s="82">
        <v>0.3</v>
      </c>
      <c r="G4" s="102"/>
      <c r="H4" s="102"/>
      <c r="I4" s="102"/>
      <c r="J4" s="102"/>
      <c r="K4" s="102"/>
      <c r="L4" s="102"/>
      <c r="M4" s="102"/>
    </row>
    <row r="5" spans="1:13" ht="20.25" x14ac:dyDescent="0.25">
      <c r="A5" s="551"/>
      <c r="B5" s="342" t="s">
        <v>189</v>
      </c>
      <c r="C5" s="82">
        <v>0.1</v>
      </c>
      <c r="D5" s="82">
        <v>0.2</v>
      </c>
      <c r="E5" s="82">
        <v>0.19</v>
      </c>
      <c r="F5" s="82">
        <v>0.2</v>
      </c>
      <c r="G5" s="102"/>
      <c r="H5" s="102"/>
      <c r="I5" s="102"/>
      <c r="J5" s="102"/>
      <c r="K5" s="102"/>
      <c r="L5" s="102"/>
      <c r="M5" s="102"/>
    </row>
    <row r="6" spans="1:13" ht="20.25" x14ac:dyDescent="0.25">
      <c r="A6" s="102"/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</row>
    <row r="7" spans="1:13" ht="20.25" customHeight="1" x14ac:dyDescent="0.25">
      <c r="A7" s="343"/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</row>
    <row r="8" spans="1:13" ht="27" customHeight="1" x14ac:dyDescent="0.25">
      <c r="A8" s="547" t="s">
        <v>199</v>
      </c>
      <c r="B8" s="548"/>
      <c r="C8" s="345" t="s">
        <v>200</v>
      </c>
      <c r="D8" s="345" t="s">
        <v>198</v>
      </c>
      <c r="E8" s="345" t="s">
        <v>23</v>
      </c>
      <c r="F8" s="345" t="s">
        <v>201</v>
      </c>
      <c r="G8" s="102"/>
      <c r="H8" s="102"/>
      <c r="I8" s="102"/>
      <c r="J8" s="102"/>
      <c r="K8" s="102"/>
      <c r="L8" s="102"/>
      <c r="M8" s="102"/>
    </row>
    <row r="9" spans="1:13" ht="20.25" x14ac:dyDescent="0.25">
      <c r="A9" s="473" t="s">
        <v>202</v>
      </c>
      <c r="B9" s="473"/>
      <c r="C9" s="336">
        <v>1.5</v>
      </c>
      <c r="D9" s="336">
        <v>2.2999999999999998</v>
      </c>
      <c r="E9" s="336">
        <v>2.85</v>
      </c>
      <c r="F9" s="336">
        <v>3.3</v>
      </c>
      <c r="G9" s="102"/>
      <c r="H9" s="102"/>
      <c r="I9" s="102"/>
      <c r="J9" s="102"/>
      <c r="K9" s="102"/>
      <c r="L9" s="102"/>
      <c r="M9" s="102"/>
    </row>
    <row r="10" spans="1:13" ht="20.25" x14ac:dyDescent="0.25">
      <c r="A10" s="102"/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</row>
    <row r="11" spans="1:13" ht="20.25" customHeight="1" x14ac:dyDescent="0.25">
      <c r="A11" s="549" t="s">
        <v>203</v>
      </c>
      <c r="B11" s="550"/>
      <c r="C11" s="345">
        <v>1</v>
      </c>
      <c r="D11" s="345">
        <v>3</v>
      </c>
      <c r="E11" s="345">
        <v>7</v>
      </c>
      <c r="F11" s="345">
        <v>28</v>
      </c>
      <c r="G11" s="345">
        <v>90</v>
      </c>
      <c r="H11" s="345" t="s">
        <v>204</v>
      </c>
      <c r="I11" s="102"/>
      <c r="J11" s="102"/>
      <c r="K11" s="102"/>
      <c r="L11" s="102"/>
      <c r="M11" s="102"/>
    </row>
    <row r="12" spans="1:13" ht="20.25" x14ac:dyDescent="0.25">
      <c r="A12" s="473" t="s">
        <v>205</v>
      </c>
      <c r="B12" s="473"/>
      <c r="C12" s="336">
        <v>1.8</v>
      </c>
      <c r="D12" s="336">
        <v>1.6</v>
      </c>
      <c r="E12" s="336">
        <v>1.4</v>
      </c>
      <c r="F12" s="336">
        <v>1</v>
      </c>
      <c r="G12" s="336">
        <v>0.75</v>
      </c>
      <c r="H12" s="336">
        <v>0.5</v>
      </c>
      <c r="I12" s="102"/>
      <c r="J12" s="102"/>
      <c r="K12" s="102"/>
      <c r="L12" s="102"/>
      <c r="M12" s="102"/>
    </row>
    <row r="13" spans="1:13" ht="20.25" x14ac:dyDescent="0.25">
      <c r="A13" s="102"/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</row>
    <row r="14" spans="1:13" ht="20.25" x14ac:dyDescent="0.25">
      <c r="A14" s="102"/>
      <c r="F14" s="102"/>
      <c r="G14" s="102"/>
      <c r="H14" s="102"/>
      <c r="I14" s="102"/>
      <c r="J14" s="102"/>
      <c r="K14" s="102"/>
      <c r="L14" s="102"/>
      <c r="M14" s="102"/>
    </row>
    <row r="15" spans="1:13" ht="21.75" customHeight="1" x14ac:dyDescent="0.25">
      <c r="A15" s="102"/>
      <c r="F15" s="102"/>
      <c r="G15" s="102"/>
      <c r="H15" s="102"/>
      <c r="I15" s="102"/>
      <c r="J15" s="102"/>
      <c r="K15" s="102"/>
      <c r="L15" s="102"/>
      <c r="M15" s="102"/>
    </row>
    <row r="16" spans="1:13" ht="37.5" customHeight="1" x14ac:dyDescent="0.25">
      <c r="A16" s="346" t="s">
        <v>207</v>
      </c>
      <c r="B16" s="345">
        <v>500</v>
      </c>
      <c r="C16" s="345">
        <v>400</v>
      </c>
      <c r="D16" s="345">
        <v>300</v>
      </c>
      <c r="I16" s="102"/>
      <c r="J16" s="102"/>
      <c r="K16" s="102"/>
      <c r="L16" s="102"/>
      <c r="M16" s="102"/>
    </row>
    <row r="17" spans="1:13" ht="20.25" x14ac:dyDescent="0.25">
      <c r="A17" s="345">
        <v>0.35</v>
      </c>
      <c r="B17" s="336">
        <v>0.9</v>
      </c>
      <c r="C17" s="336">
        <v>0.75</v>
      </c>
      <c r="D17" s="336" t="s">
        <v>206</v>
      </c>
      <c r="I17" s="102"/>
      <c r="J17" s="102"/>
      <c r="K17" s="102"/>
      <c r="L17" s="102"/>
      <c r="M17" s="102"/>
    </row>
    <row r="18" spans="1:13" ht="20.25" x14ac:dyDescent="0.25">
      <c r="A18" s="345">
        <v>0.4</v>
      </c>
      <c r="B18" s="336">
        <v>1</v>
      </c>
      <c r="C18" s="336">
        <v>0.85</v>
      </c>
      <c r="D18" s="336">
        <v>0.7</v>
      </c>
      <c r="F18" s="344"/>
      <c r="I18" s="102"/>
      <c r="J18" s="102"/>
      <c r="K18" s="102"/>
      <c r="L18" s="102"/>
      <c r="M18" s="102"/>
    </row>
    <row r="19" spans="1:13" ht="20.25" x14ac:dyDescent="0.25">
      <c r="A19" s="345">
        <v>0.5</v>
      </c>
      <c r="B19" s="336">
        <v>1.4</v>
      </c>
      <c r="C19" s="336">
        <v>1.2</v>
      </c>
      <c r="D19" s="336">
        <v>0.9</v>
      </c>
      <c r="I19" s="102"/>
      <c r="J19" s="102"/>
      <c r="K19" s="102"/>
      <c r="L19" s="102"/>
      <c r="M19" s="102"/>
    </row>
    <row r="20" spans="1:13" ht="20.25" x14ac:dyDescent="0.25">
      <c r="A20" s="345">
        <v>0.6</v>
      </c>
      <c r="B20" s="336">
        <v>2</v>
      </c>
      <c r="C20" s="336">
        <v>1.6</v>
      </c>
      <c r="D20" s="336">
        <v>1.2</v>
      </c>
      <c r="I20" s="102"/>
      <c r="J20" s="102"/>
      <c r="K20" s="102"/>
      <c r="L20" s="102"/>
      <c r="M20" s="102"/>
    </row>
    <row r="21" spans="1:13" ht="20.25" x14ac:dyDescent="0.25">
      <c r="A21" s="345">
        <v>0.65</v>
      </c>
      <c r="B21" s="336" t="s">
        <v>206</v>
      </c>
      <c r="C21" s="336">
        <v>1.9</v>
      </c>
      <c r="D21" s="336">
        <v>1.3</v>
      </c>
    </row>
    <row r="22" spans="1:13" ht="20.25" x14ac:dyDescent="0.25">
      <c r="A22" s="102"/>
      <c r="B22" s="102"/>
      <c r="C22" s="102"/>
      <c r="D22" s="102"/>
      <c r="E22" s="102"/>
      <c r="F22" s="102"/>
      <c r="G22" s="102"/>
      <c r="H22" s="102"/>
      <c r="I22" s="102"/>
      <c r="J22" s="102"/>
    </row>
    <row r="23" spans="1:13" ht="20.25" x14ac:dyDescent="0.25">
      <c r="F23" s="102"/>
      <c r="G23" s="102"/>
      <c r="H23" s="102"/>
      <c r="I23" s="102"/>
      <c r="J23" s="102"/>
    </row>
    <row r="24" spans="1:13" ht="20.25" x14ac:dyDescent="0.25">
      <c r="A24" s="345" t="s">
        <v>393</v>
      </c>
      <c r="B24" s="345">
        <v>60</v>
      </c>
      <c r="C24" s="345">
        <v>120</v>
      </c>
      <c r="D24" s="345">
        <v>200</v>
      </c>
      <c r="E24" s="345">
        <v>300</v>
      </c>
      <c r="F24" s="345">
        <v>400</v>
      </c>
      <c r="G24" s="345">
        <v>800</v>
      </c>
      <c r="H24" s="102"/>
      <c r="I24" s="102"/>
      <c r="J24" s="102"/>
    </row>
    <row r="25" spans="1:13" ht="20.25" x14ac:dyDescent="0.25">
      <c r="A25" s="335" t="s">
        <v>394</v>
      </c>
      <c r="B25" s="336">
        <v>1.2</v>
      </c>
      <c r="C25" s="336">
        <v>1</v>
      </c>
      <c r="D25" s="336">
        <v>0.85</v>
      </c>
      <c r="E25" s="336">
        <v>0.75</v>
      </c>
      <c r="F25" s="336">
        <v>0.72</v>
      </c>
      <c r="G25" s="336">
        <v>0.7</v>
      </c>
      <c r="H25" s="102"/>
      <c r="I25" s="102"/>
      <c r="J25" s="102"/>
    </row>
    <row r="26" spans="1:13" ht="20.25" x14ac:dyDescent="0.25">
      <c r="A26" s="102"/>
      <c r="B26" s="102"/>
      <c r="C26" s="102"/>
      <c r="D26" s="102"/>
      <c r="E26" s="102"/>
      <c r="F26" s="102"/>
      <c r="G26" s="102"/>
      <c r="H26" s="102"/>
      <c r="I26" s="102"/>
      <c r="J26" s="102"/>
    </row>
    <row r="27" spans="1:13" ht="20.25" x14ac:dyDescent="0.25">
      <c r="A27" s="102"/>
      <c r="B27" s="102"/>
      <c r="C27" s="102"/>
      <c r="D27" s="102"/>
      <c r="E27" s="102"/>
      <c r="F27" s="102"/>
      <c r="G27" s="102"/>
      <c r="H27" s="102"/>
      <c r="I27" s="102"/>
      <c r="J27" s="102"/>
    </row>
    <row r="28" spans="1:13" ht="31.5" x14ac:dyDescent="0.25">
      <c r="A28" s="346" t="s">
        <v>208</v>
      </c>
      <c r="B28" s="345">
        <v>10</v>
      </c>
      <c r="C28" s="345">
        <v>100</v>
      </c>
      <c r="D28" s="345">
        <v>1000</v>
      </c>
      <c r="E28" s="345" t="s">
        <v>17</v>
      </c>
      <c r="F28" s="102"/>
      <c r="G28" s="102"/>
      <c r="H28" s="102"/>
      <c r="I28" s="102"/>
      <c r="J28" s="102"/>
    </row>
    <row r="29" spans="1:13" ht="20.25" x14ac:dyDescent="0.25">
      <c r="A29" s="345">
        <v>100</v>
      </c>
      <c r="B29" s="336">
        <v>0.2</v>
      </c>
      <c r="C29" s="336">
        <v>0.62</v>
      </c>
      <c r="D29" s="336">
        <v>0.95</v>
      </c>
      <c r="E29" s="336">
        <v>1</v>
      </c>
      <c r="F29" s="102"/>
      <c r="G29" s="102"/>
      <c r="H29" s="102"/>
      <c r="I29" s="102"/>
      <c r="J29" s="102"/>
    </row>
    <row r="30" spans="1:13" ht="20.25" x14ac:dyDescent="0.25">
      <c r="A30" s="345">
        <v>200</v>
      </c>
      <c r="B30" s="336">
        <v>0.1</v>
      </c>
      <c r="C30" s="336">
        <v>0.5</v>
      </c>
      <c r="D30" s="336">
        <v>0.88</v>
      </c>
      <c r="E30" s="336">
        <v>1</v>
      </c>
      <c r="F30" s="102"/>
      <c r="G30" s="102"/>
      <c r="H30" s="102"/>
      <c r="I30" s="102"/>
      <c r="J30" s="102"/>
    </row>
    <row r="31" spans="1:13" ht="20.25" x14ac:dyDescent="0.25">
      <c r="A31" s="345">
        <v>400</v>
      </c>
      <c r="B31" s="336">
        <v>0.05</v>
      </c>
      <c r="C31" s="336">
        <v>0.25</v>
      </c>
      <c r="D31" s="336">
        <v>0.75</v>
      </c>
      <c r="E31" s="336">
        <v>1</v>
      </c>
      <c r="F31" s="102"/>
      <c r="G31" s="102"/>
      <c r="H31" s="102"/>
      <c r="I31" s="102"/>
      <c r="J31" s="102"/>
    </row>
    <row r="32" spans="1:13" ht="20.25" x14ac:dyDescent="0.25">
      <c r="A32" s="345">
        <v>800</v>
      </c>
      <c r="B32" s="336">
        <v>0</v>
      </c>
      <c r="C32" s="336">
        <v>0.08</v>
      </c>
      <c r="D32" s="336">
        <v>50</v>
      </c>
      <c r="E32" s="336">
        <v>1</v>
      </c>
      <c r="F32" s="102"/>
      <c r="G32" s="102"/>
      <c r="H32" s="102"/>
      <c r="I32" s="102"/>
      <c r="J32" s="102"/>
    </row>
    <row r="33" spans="1:10" ht="20.25" x14ac:dyDescent="0.25">
      <c r="E33" s="102"/>
      <c r="F33" s="102"/>
      <c r="G33" s="102"/>
      <c r="H33" s="102"/>
      <c r="I33" s="102"/>
      <c r="J33" s="102"/>
    </row>
    <row r="34" spans="1:10" ht="20.25" x14ac:dyDescent="0.25">
      <c r="A34" s="102"/>
      <c r="B34" s="102"/>
      <c r="C34" s="102"/>
      <c r="D34" s="102"/>
      <c r="E34" s="102"/>
      <c r="F34" s="102"/>
      <c r="G34" s="102"/>
      <c r="H34" s="102"/>
      <c r="I34" s="102"/>
      <c r="J34" s="102"/>
    </row>
    <row r="35" spans="1:10" ht="20.25" x14ac:dyDescent="0.25">
      <c r="A35" s="102"/>
      <c r="C35" s="102"/>
      <c r="D35" s="102"/>
      <c r="E35" s="102"/>
      <c r="F35" s="102"/>
      <c r="G35" s="102"/>
      <c r="H35" s="102"/>
      <c r="I35" s="102"/>
      <c r="J35" s="102"/>
    </row>
  </sheetData>
  <mergeCells count="8">
    <mergeCell ref="E1:F1"/>
    <mergeCell ref="A1:A2"/>
    <mergeCell ref="A8:B8"/>
    <mergeCell ref="A11:B11"/>
    <mergeCell ref="A12:B12"/>
    <mergeCell ref="A9:B9"/>
    <mergeCell ref="A3:A5"/>
    <mergeCell ref="C1:D1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-0.499984740745262"/>
  </sheetPr>
  <dimension ref="A1:S29"/>
  <sheetViews>
    <sheetView showGridLines="0" zoomScale="80" zoomScaleNormal="80" workbookViewId="0">
      <selection sqref="A1:D29"/>
    </sheetView>
  </sheetViews>
  <sheetFormatPr defaultColWidth="9" defaultRowHeight="14.25" x14ac:dyDescent="0.25"/>
  <cols>
    <col min="1" max="1" width="51" style="59" bestFit="1" customWidth="1"/>
    <col min="2" max="2" width="9" style="59"/>
    <col min="3" max="3" width="14.42578125" style="59" bestFit="1" customWidth="1"/>
    <col min="4" max="4" width="13.28515625" style="59" customWidth="1"/>
    <col min="5" max="11" width="9" style="59"/>
    <col min="12" max="12" width="9.5703125" style="59" customWidth="1"/>
    <col min="13" max="13" width="9" style="59"/>
    <col min="14" max="14" width="10.5703125" style="59" bestFit="1" customWidth="1"/>
    <col min="15" max="16384" width="9" style="59"/>
  </cols>
  <sheetData>
    <row r="1" spans="1:19" ht="32.25" customHeight="1" thickBot="1" x14ac:dyDescent="0.3">
      <c r="A1" s="565" t="s">
        <v>231</v>
      </c>
      <c r="B1" s="566"/>
      <c r="C1" s="566"/>
      <c r="D1" s="567"/>
      <c r="E1" s="197"/>
      <c r="F1" s="198"/>
      <c r="G1" s="198"/>
      <c r="H1" s="198"/>
    </row>
    <row r="2" spans="1:19" ht="21.75" customHeight="1" thickBot="1" x14ac:dyDescent="0.3">
      <c r="A2" s="563" t="s">
        <v>230</v>
      </c>
      <c r="B2" s="564"/>
      <c r="C2" s="564"/>
      <c r="D2" s="215">
        <v>1</v>
      </c>
      <c r="E2" s="193"/>
      <c r="F2" s="193"/>
      <c r="G2" s="193"/>
      <c r="H2" s="193"/>
      <c r="P2" s="192"/>
      <c r="Q2" s="192"/>
      <c r="R2" s="192"/>
      <c r="S2" s="192"/>
    </row>
    <row r="3" spans="1:19" ht="20.25" x14ac:dyDescent="0.25">
      <c r="A3" s="206" t="s">
        <v>232</v>
      </c>
      <c r="B3" s="207" t="s">
        <v>225</v>
      </c>
      <c r="C3" s="199">
        <f>'4 - حساب قوة سبق الاجهاد'!C32/2</f>
        <v>2</v>
      </c>
      <c r="D3" s="212" t="s">
        <v>233</v>
      </c>
      <c r="P3" s="192"/>
      <c r="Q3" s="192"/>
      <c r="R3" s="192"/>
      <c r="S3" s="192"/>
    </row>
    <row r="4" spans="1:19" ht="20.25" x14ac:dyDescent="0.25">
      <c r="A4" s="208" t="s">
        <v>264</v>
      </c>
      <c r="B4" s="209" t="s">
        <v>234</v>
      </c>
      <c r="C4" s="200">
        <f>C3*'مواصفات المماسك'!D25+(C3-1)*400</f>
        <v>810</v>
      </c>
      <c r="D4" s="213" t="s">
        <v>27</v>
      </c>
      <c r="P4" s="192"/>
      <c r="Q4" s="192"/>
      <c r="R4" s="192"/>
      <c r="S4" s="192"/>
    </row>
    <row r="5" spans="1:19" ht="21" thickBot="1" x14ac:dyDescent="0.3">
      <c r="A5" s="208" t="s">
        <v>235</v>
      </c>
      <c r="B5" s="209" t="s">
        <v>236</v>
      </c>
      <c r="C5" s="201">
        <f>'1- تحديد الأبعاد الأولية'!D34*1000</f>
        <v>1249.9999999999993</v>
      </c>
      <c r="D5" s="213" t="s">
        <v>27</v>
      </c>
      <c r="E5" s="193"/>
      <c r="F5" s="193"/>
      <c r="G5" s="193"/>
      <c r="H5" s="193"/>
      <c r="I5" s="193"/>
      <c r="P5" s="192"/>
      <c r="Q5" s="192"/>
      <c r="R5" s="192"/>
      <c r="S5" s="192"/>
    </row>
    <row r="6" spans="1:19" ht="20.25" x14ac:dyDescent="0.25">
      <c r="A6" s="208" t="s">
        <v>237</v>
      </c>
      <c r="B6" s="209" t="s">
        <v>238</v>
      </c>
      <c r="C6" s="201">
        <f>'4 - حساب قوة سبق الاجهاد'!C34*'0- المعطيات'!I24/1000/'3- مسار الكابل'!$D$34</f>
        <v>1249.92</v>
      </c>
      <c r="D6" s="213" t="s">
        <v>239</v>
      </c>
      <c r="E6" s="552"/>
      <c r="F6" s="553"/>
      <c r="G6" s="554"/>
      <c r="H6" s="194"/>
      <c r="I6" s="194"/>
      <c r="P6" s="194"/>
      <c r="Q6" s="194"/>
      <c r="R6" s="194"/>
      <c r="S6" s="194"/>
    </row>
    <row r="7" spans="1:19" ht="20.25" x14ac:dyDescent="0.25">
      <c r="A7" s="208" t="s">
        <v>240</v>
      </c>
      <c r="B7" s="209" t="s">
        <v>241</v>
      </c>
      <c r="C7" s="201">
        <f>(C3*C6/4)*(1-(C4/C5))</f>
        <v>219.98591999999979</v>
      </c>
      <c r="D7" s="213" t="s">
        <v>239</v>
      </c>
      <c r="E7" s="555"/>
      <c r="F7" s="556"/>
      <c r="G7" s="557"/>
      <c r="H7" s="195"/>
      <c r="I7" s="195"/>
      <c r="P7" s="561"/>
      <c r="Q7" s="562"/>
      <c r="R7" s="562"/>
      <c r="S7" s="562"/>
    </row>
    <row r="8" spans="1:19" ht="21" thickBot="1" x14ac:dyDescent="0.3">
      <c r="A8" s="208"/>
      <c r="B8" s="209" t="s">
        <v>26</v>
      </c>
      <c r="C8" s="200">
        <f>'0- المعطيات'!I45</f>
        <v>0.9</v>
      </c>
      <c r="D8" s="213"/>
      <c r="E8" s="558"/>
      <c r="F8" s="559"/>
      <c r="G8" s="560"/>
      <c r="H8" s="19"/>
      <c r="I8" s="195"/>
      <c r="P8" s="195"/>
      <c r="Q8" s="195"/>
      <c r="R8" s="195"/>
      <c r="S8" s="195"/>
    </row>
    <row r="9" spans="1:19" ht="20.25" x14ac:dyDescent="0.25">
      <c r="A9" s="208" t="s">
        <v>242</v>
      </c>
      <c r="B9" s="209" t="s">
        <v>243</v>
      </c>
      <c r="C9" s="202">
        <f>'0- المعطيات'!I46</f>
        <v>400</v>
      </c>
      <c r="D9" s="213" t="s">
        <v>244</v>
      </c>
      <c r="E9" s="195"/>
      <c r="F9" s="195"/>
      <c r="G9" s="195"/>
      <c r="H9" s="196"/>
      <c r="I9" s="195"/>
      <c r="P9" s="195"/>
    </row>
    <row r="10" spans="1:19" ht="21" thickBot="1" x14ac:dyDescent="0.3">
      <c r="A10" s="208" t="s">
        <v>245</v>
      </c>
      <c r="B10" s="209" t="s">
        <v>246</v>
      </c>
      <c r="C10" s="201">
        <f>C7*1000/(C8*C9)</f>
        <v>611.07199999999943</v>
      </c>
      <c r="D10" s="213" t="s">
        <v>62</v>
      </c>
      <c r="E10" s="195"/>
      <c r="F10" s="195"/>
      <c r="G10" s="195"/>
      <c r="H10" s="195"/>
      <c r="I10" s="195"/>
      <c r="P10" s="195"/>
      <c r="Q10" s="195"/>
      <c r="R10" s="195"/>
      <c r="S10" s="195"/>
    </row>
    <row r="11" spans="1:19" ht="20.25" x14ac:dyDescent="0.25">
      <c r="A11" s="208" t="s">
        <v>247</v>
      </c>
      <c r="B11" s="209" t="s">
        <v>248</v>
      </c>
      <c r="C11" s="202">
        <f>'0- المعطيات'!I47</f>
        <v>18</v>
      </c>
      <c r="D11" s="213" t="s">
        <v>249</v>
      </c>
      <c r="E11" s="552"/>
      <c r="F11" s="553"/>
      <c r="G11" s="554"/>
      <c r="P11" s="195"/>
      <c r="Q11" s="195"/>
      <c r="R11" s="195"/>
      <c r="S11" s="195"/>
    </row>
    <row r="12" spans="1:19" ht="20.25" x14ac:dyDescent="0.25">
      <c r="A12" s="208" t="s">
        <v>251</v>
      </c>
      <c r="B12" s="209" t="s">
        <v>252</v>
      </c>
      <c r="C12" s="200">
        <f>CEILING(C10*4/(3.14*C11^2),1)</f>
        <v>3</v>
      </c>
      <c r="D12" s="213" t="s">
        <v>253</v>
      </c>
      <c r="E12" s="555"/>
      <c r="F12" s="556"/>
      <c r="G12" s="557"/>
      <c r="H12" s="192"/>
      <c r="I12" s="194"/>
      <c r="P12" s="195"/>
      <c r="Q12" s="195"/>
      <c r="R12" s="195"/>
      <c r="S12" s="195"/>
    </row>
    <row r="13" spans="1:19" ht="21" thickBot="1" x14ac:dyDescent="0.3">
      <c r="A13" s="208" t="s">
        <v>254</v>
      </c>
      <c r="B13" s="211" t="s">
        <v>255</v>
      </c>
      <c r="C13" s="203">
        <v>50</v>
      </c>
      <c r="D13" s="214" t="s">
        <v>27</v>
      </c>
      <c r="E13" s="558"/>
      <c r="F13" s="559"/>
      <c r="G13" s="560"/>
      <c r="H13" s="192"/>
      <c r="I13" s="194"/>
    </row>
    <row r="14" spans="1:19" ht="21" thickBot="1" x14ac:dyDescent="0.3">
      <c r="A14" s="208" t="s">
        <v>295</v>
      </c>
      <c r="B14" s="204">
        <f>C12</f>
        <v>3</v>
      </c>
      <c r="C14" s="171" t="s">
        <v>250</v>
      </c>
      <c r="D14" s="205">
        <f>C11</f>
        <v>18</v>
      </c>
      <c r="I14" s="194"/>
    </row>
    <row r="15" spans="1:19" ht="21" thickBot="1" x14ac:dyDescent="0.3">
      <c r="A15" s="210" t="s">
        <v>266</v>
      </c>
      <c r="B15" s="204">
        <f>CEILING(B14/2,1)</f>
        <v>2</v>
      </c>
      <c r="C15" s="171" t="s">
        <v>250</v>
      </c>
      <c r="D15" s="205">
        <f>D14</f>
        <v>18</v>
      </c>
      <c r="E15" s="194"/>
      <c r="F15" s="194"/>
      <c r="G15" s="194"/>
    </row>
    <row r="16" spans="1:19" ht="18.75" thickBot="1" x14ac:dyDescent="0.3">
      <c r="A16" s="563" t="s">
        <v>256</v>
      </c>
      <c r="B16" s="564"/>
      <c r="C16" s="564"/>
      <c r="D16" s="215">
        <v>2</v>
      </c>
      <c r="I16" s="194"/>
    </row>
    <row r="17" spans="1:9" ht="20.25" x14ac:dyDescent="0.25">
      <c r="A17" s="206" t="s">
        <v>257</v>
      </c>
      <c r="B17" s="207" t="s">
        <v>225</v>
      </c>
      <c r="C17" s="217">
        <f>'3- مسار الكابل'!D34/2</f>
        <v>2</v>
      </c>
      <c r="D17" s="216" t="s">
        <v>233</v>
      </c>
      <c r="I17" s="194"/>
    </row>
    <row r="18" spans="1:9" ht="20.25" x14ac:dyDescent="0.25">
      <c r="A18" s="208" t="s">
        <v>258</v>
      </c>
      <c r="B18" s="209" t="s">
        <v>259</v>
      </c>
      <c r="C18" s="200">
        <f>C17*'مواصفات المماسك'!C25+120*(C17-1)</f>
        <v>450</v>
      </c>
      <c r="D18" s="213" t="s">
        <v>27</v>
      </c>
      <c r="I18" s="194"/>
    </row>
    <row r="19" spans="1:9" ht="21" thickBot="1" x14ac:dyDescent="0.3">
      <c r="A19" s="208" t="s">
        <v>260</v>
      </c>
      <c r="B19" s="209" t="s">
        <v>261</v>
      </c>
      <c r="C19" s="201">
        <f>'1- تحديد الأبعاد الأولية'!H34*1000</f>
        <v>600</v>
      </c>
      <c r="D19" s="213" t="s">
        <v>27</v>
      </c>
      <c r="I19" s="195"/>
    </row>
    <row r="20" spans="1:9" ht="20.25" x14ac:dyDescent="0.25">
      <c r="A20" s="208" t="s">
        <v>237</v>
      </c>
      <c r="B20" s="209" t="s">
        <v>238</v>
      </c>
      <c r="C20" s="201">
        <f>C6</f>
        <v>1249.92</v>
      </c>
      <c r="D20" s="213" t="s">
        <v>239</v>
      </c>
      <c r="E20" s="552"/>
      <c r="F20" s="553"/>
      <c r="G20" s="554"/>
      <c r="I20" s="195"/>
    </row>
    <row r="21" spans="1:9" ht="20.25" x14ac:dyDescent="0.25">
      <c r="A21" s="208" t="s">
        <v>262</v>
      </c>
      <c r="B21" s="209" t="s">
        <v>263</v>
      </c>
      <c r="C21" s="201">
        <f>(C17*C20/4)*(1-(C18/C19))</f>
        <v>156.24</v>
      </c>
      <c r="D21" s="213" t="s">
        <v>239</v>
      </c>
      <c r="E21" s="555"/>
      <c r="F21" s="556"/>
      <c r="G21" s="557"/>
      <c r="I21" s="195"/>
    </row>
    <row r="22" spans="1:9" ht="21" thickBot="1" x14ac:dyDescent="0.3">
      <c r="A22" s="208"/>
      <c r="B22" s="209" t="s">
        <v>26</v>
      </c>
      <c r="C22" s="200">
        <f>C8</f>
        <v>0.9</v>
      </c>
      <c r="D22" s="213"/>
      <c r="E22" s="558"/>
      <c r="F22" s="559"/>
      <c r="G22" s="560"/>
      <c r="I22" s="195"/>
    </row>
    <row r="23" spans="1:9" ht="20.25" x14ac:dyDescent="0.25">
      <c r="A23" s="208" t="s">
        <v>242</v>
      </c>
      <c r="B23" s="209" t="s">
        <v>243</v>
      </c>
      <c r="C23" s="202">
        <f>C9</f>
        <v>400</v>
      </c>
      <c r="D23" s="213" t="s">
        <v>244</v>
      </c>
      <c r="I23" s="195"/>
    </row>
    <row r="24" spans="1:9" ht="21" thickBot="1" x14ac:dyDescent="0.3">
      <c r="A24" s="208" t="s">
        <v>245</v>
      </c>
      <c r="B24" s="209" t="s">
        <v>246</v>
      </c>
      <c r="C24" s="201">
        <f>C21*1000/(C22*C23)</f>
        <v>434</v>
      </c>
      <c r="D24" s="213" t="s">
        <v>62</v>
      </c>
      <c r="I24" s="195"/>
    </row>
    <row r="25" spans="1:9" ht="20.25" x14ac:dyDescent="0.25">
      <c r="A25" s="208" t="s">
        <v>247</v>
      </c>
      <c r="B25" s="209" t="s">
        <v>248</v>
      </c>
      <c r="C25" s="202">
        <f>C11</f>
        <v>18</v>
      </c>
      <c r="D25" s="213" t="s">
        <v>249</v>
      </c>
      <c r="E25" s="552"/>
      <c r="F25" s="553"/>
      <c r="G25" s="554"/>
    </row>
    <row r="26" spans="1:9" ht="20.25" x14ac:dyDescent="0.25">
      <c r="A26" s="208" t="s">
        <v>251</v>
      </c>
      <c r="B26" s="209" t="s">
        <v>252</v>
      </c>
      <c r="C26" s="200">
        <f>CEILING(C24*4/(3.14*C25*C25),1)</f>
        <v>2</v>
      </c>
      <c r="D26" s="213" t="s">
        <v>253</v>
      </c>
      <c r="E26" s="555"/>
      <c r="F26" s="556"/>
      <c r="G26" s="557"/>
    </row>
    <row r="27" spans="1:9" ht="21" thickBot="1" x14ac:dyDescent="0.3">
      <c r="A27" s="208" t="s">
        <v>254</v>
      </c>
      <c r="B27" s="211" t="s">
        <v>255</v>
      </c>
      <c r="C27" s="203">
        <v>50</v>
      </c>
      <c r="D27" s="214" t="s">
        <v>27</v>
      </c>
      <c r="E27" s="558"/>
      <c r="F27" s="559"/>
      <c r="G27" s="560"/>
    </row>
    <row r="28" spans="1:9" ht="21" thickBot="1" x14ac:dyDescent="0.3">
      <c r="A28" s="208" t="s">
        <v>296</v>
      </c>
      <c r="B28" s="204">
        <f>C26</f>
        <v>2</v>
      </c>
      <c r="C28" s="171" t="s">
        <v>250</v>
      </c>
      <c r="D28" s="205">
        <f>C25</f>
        <v>18</v>
      </c>
    </row>
    <row r="29" spans="1:9" ht="21" thickBot="1" x14ac:dyDescent="0.3">
      <c r="A29" s="210" t="s">
        <v>265</v>
      </c>
      <c r="B29" s="204">
        <f>CEILING(B28/C17,1)</f>
        <v>1</v>
      </c>
      <c r="C29" s="171" t="s">
        <v>250</v>
      </c>
      <c r="D29" s="205">
        <f>D28</f>
        <v>18</v>
      </c>
    </row>
  </sheetData>
  <mergeCells count="8">
    <mergeCell ref="E25:G27"/>
    <mergeCell ref="P7:S7"/>
    <mergeCell ref="A2:C2"/>
    <mergeCell ref="A1:D1"/>
    <mergeCell ref="E6:G8"/>
    <mergeCell ref="A16:C16"/>
    <mergeCell ref="E20:G22"/>
    <mergeCell ref="E11:G13"/>
  </mergeCells>
  <pageMargins left="0.7" right="0.7" top="0.75" bottom="0.75" header="0.3" footer="0.3"/>
  <pageSetup orientation="portrait" r:id="rId1"/>
  <ignoredErrors>
    <ignoredError sqref="C9 C11" unlockedFormula="1"/>
  </ignoredErrors>
  <drawing r:id="rId2"/>
  <legacyDrawing r:id="rId3"/>
  <oleObjects>
    <mc:AlternateContent xmlns:mc="http://schemas.openxmlformats.org/markup-compatibility/2006">
      <mc:Choice Requires="x14">
        <oleObject progId="Equation.3" shapeId="14337" r:id="rId4">
          <objectPr defaultSize="0" autoPict="0" r:id="rId5">
            <anchor moveWithCells="1" sizeWithCells="1">
              <from>
                <xdr:col>4</xdr:col>
                <xdr:colOff>466725</xdr:colOff>
                <xdr:row>10</xdr:row>
                <xdr:rowOff>57150</xdr:rowOff>
              </from>
              <to>
                <xdr:col>6</xdr:col>
                <xdr:colOff>219075</xdr:colOff>
                <xdr:row>12</xdr:row>
                <xdr:rowOff>228600</xdr:rowOff>
              </to>
            </anchor>
          </objectPr>
        </oleObject>
      </mc:Choice>
      <mc:Fallback>
        <oleObject progId="Equation.3" shapeId="14337" r:id="rId4"/>
      </mc:Fallback>
    </mc:AlternateContent>
    <mc:AlternateContent xmlns:mc="http://schemas.openxmlformats.org/markup-compatibility/2006">
      <mc:Choice Requires="x14">
        <oleObject progId="Equation.3" shapeId="14338" r:id="rId6">
          <objectPr defaultSize="0" autoPict="0" r:id="rId7">
            <anchor moveWithCells="1" sizeWithCells="1">
              <from>
                <xdr:col>4</xdr:col>
                <xdr:colOff>66675</xdr:colOff>
                <xdr:row>5</xdr:row>
                <xdr:rowOff>47625</xdr:rowOff>
              </from>
              <to>
                <xdr:col>7</xdr:col>
                <xdr:colOff>9525</xdr:colOff>
                <xdr:row>7</xdr:row>
                <xdr:rowOff>219075</xdr:rowOff>
              </to>
            </anchor>
          </objectPr>
        </oleObject>
      </mc:Choice>
      <mc:Fallback>
        <oleObject progId="Equation.3" shapeId="14338" r:id="rId6"/>
      </mc:Fallback>
    </mc:AlternateContent>
    <mc:AlternateContent xmlns:mc="http://schemas.openxmlformats.org/markup-compatibility/2006">
      <mc:Choice Requires="x14">
        <oleObject progId="Equation.3" shapeId="14340" r:id="rId8">
          <objectPr defaultSize="0" autoPict="0" r:id="rId5">
            <anchor moveWithCells="1" sizeWithCells="1">
              <from>
                <xdr:col>4</xdr:col>
                <xdr:colOff>466725</xdr:colOff>
                <xdr:row>24</xdr:row>
                <xdr:rowOff>57150</xdr:rowOff>
              </from>
              <to>
                <xdr:col>6</xdr:col>
                <xdr:colOff>219075</xdr:colOff>
                <xdr:row>26</xdr:row>
                <xdr:rowOff>228600</xdr:rowOff>
              </to>
            </anchor>
          </objectPr>
        </oleObject>
      </mc:Choice>
      <mc:Fallback>
        <oleObject progId="Equation.3" shapeId="14340" r:id="rId8"/>
      </mc:Fallback>
    </mc:AlternateContent>
  </oleObjec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D43"/>
  <sheetViews>
    <sheetView showGridLines="0" zoomScale="80" zoomScaleNormal="80" workbookViewId="0">
      <selection activeCell="I31" sqref="I31"/>
    </sheetView>
  </sheetViews>
  <sheetFormatPr defaultColWidth="9" defaultRowHeight="20.25" x14ac:dyDescent="0.25"/>
  <cols>
    <col min="1" max="1" width="48.42578125" style="102" bestFit="1" customWidth="1"/>
    <col min="2" max="2" width="11.7109375" style="102" bestFit="1" customWidth="1"/>
    <col min="3" max="3" width="17.42578125" style="102" customWidth="1"/>
    <col min="4" max="4" width="10.42578125" style="102" bestFit="1" customWidth="1"/>
    <col min="5" max="16384" width="9" style="102"/>
  </cols>
  <sheetData>
    <row r="1" spans="1:4" ht="30.75" customHeight="1" thickBot="1" x14ac:dyDescent="0.3">
      <c r="A1" s="568" t="s">
        <v>297</v>
      </c>
      <c r="B1" s="569"/>
      <c r="C1" s="569"/>
      <c r="D1" s="570"/>
    </row>
    <row r="2" spans="1:4" ht="25.5" customHeight="1" thickBot="1" x14ac:dyDescent="0.3">
      <c r="A2" s="571" t="s">
        <v>335</v>
      </c>
      <c r="B2" s="572"/>
      <c r="C2" s="573"/>
      <c r="D2" s="230">
        <v>1</v>
      </c>
    </row>
    <row r="3" spans="1:4" x14ac:dyDescent="0.25">
      <c r="A3" s="218" t="s">
        <v>298</v>
      </c>
      <c r="B3" s="226" t="s">
        <v>299</v>
      </c>
      <c r="C3" s="219">
        <f>'0- المعطيات'!I32</f>
        <v>200</v>
      </c>
      <c r="D3" s="220" t="s">
        <v>330</v>
      </c>
    </row>
    <row r="4" spans="1:4" x14ac:dyDescent="0.25">
      <c r="A4" s="221" t="s">
        <v>300</v>
      </c>
      <c r="B4" s="227" t="s">
        <v>301</v>
      </c>
      <c r="C4" s="222">
        <f>'3- مسار الكابل'!S25*1000</f>
        <v>30020.02126662145</v>
      </c>
      <c r="D4" s="223" t="s">
        <v>15</v>
      </c>
    </row>
    <row r="5" spans="1:4" ht="23.25" x14ac:dyDescent="0.25">
      <c r="A5" s="221" t="s">
        <v>302</v>
      </c>
      <c r="B5" s="227" t="s">
        <v>333</v>
      </c>
      <c r="C5" s="222">
        <f>0.8*'0- المعطيات'!I22*'4 - حساب قوة سبق الاجهاد'!C34/1000</f>
        <v>4999.68</v>
      </c>
      <c r="D5" s="223" t="s">
        <v>239</v>
      </c>
    </row>
    <row r="6" spans="1:4" x14ac:dyDescent="0.25">
      <c r="A6" s="221" t="s">
        <v>303</v>
      </c>
      <c r="B6" s="227" t="s">
        <v>304</v>
      </c>
      <c r="C6" s="222">
        <f>C5-(C5*'9-حساب الضياعات في مقطع الحرج'!B19)</f>
        <v>4617.0453931468519</v>
      </c>
      <c r="D6" s="223" t="s">
        <v>239</v>
      </c>
    </row>
    <row r="7" spans="1:4" x14ac:dyDescent="0.25">
      <c r="A7" s="221" t="s">
        <v>305</v>
      </c>
      <c r="B7" s="227" t="s">
        <v>306</v>
      </c>
      <c r="C7" s="222">
        <f>0.5*(C5+C6)</f>
        <v>4808.3626965734256</v>
      </c>
      <c r="D7" s="223" t="s">
        <v>239</v>
      </c>
    </row>
    <row r="8" spans="1:4" ht="23.25" x14ac:dyDescent="0.25">
      <c r="A8" s="221" t="s">
        <v>8</v>
      </c>
      <c r="B8" s="227" t="s">
        <v>334</v>
      </c>
      <c r="C8" s="222">
        <f>'0- المعطيات'!I31</f>
        <v>32</v>
      </c>
      <c r="D8" s="223" t="s">
        <v>330</v>
      </c>
    </row>
    <row r="9" spans="1:4" x14ac:dyDescent="0.25">
      <c r="A9" s="221" t="s">
        <v>307</v>
      </c>
      <c r="B9" s="227" t="s">
        <v>308</v>
      </c>
      <c r="C9" s="224">
        <f>'0- المعطيات'!K10*1000</f>
        <v>30000</v>
      </c>
      <c r="D9" s="223" t="s">
        <v>27</v>
      </c>
    </row>
    <row r="10" spans="1:4" x14ac:dyDescent="0.25">
      <c r="A10" s="221" t="s">
        <v>309</v>
      </c>
      <c r="B10" s="227"/>
      <c r="C10" s="225">
        <f>'1- تحديد الأبعاد الأولية'!K25-'3- مسار الكابل'!C16</f>
        <v>0.67365753424657515</v>
      </c>
      <c r="D10" s="223" t="s">
        <v>4</v>
      </c>
    </row>
    <row r="11" spans="1:4" x14ac:dyDescent="0.25">
      <c r="A11" s="221" t="s">
        <v>310</v>
      </c>
      <c r="B11" s="228" t="s">
        <v>311</v>
      </c>
      <c r="C11" s="222">
        <f>'1- تحديد الأبعاد الأولية'!I25</f>
        <v>0.73</v>
      </c>
      <c r="D11" s="223" t="s">
        <v>331</v>
      </c>
    </row>
    <row r="12" spans="1:4" x14ac:dyDescent="0.25">
      <c r="A12" s="221" t="s">
        <v>312</v>
      </c>
      <c r="B12" s="228" t="s">
        <v>313</v>
      </c>
      <c r="C12" s="222">
        <f>'1- تحديد الأبعاد الأولية'!L25</f>
        <v>0.18850824771689489</v>
      </c>
      <c r="D12" s="223" t="s">
        <v>314</v>
      </c>
    </row>
    <row r="13" spans="1:4" x14ac:dyDescent="0.25">
      <c r="A13" s="221" t="s">
        <v>315</v>
      </c>
      <c r="B13" s="228" t="s">
        <v>316</v>
      </c>
      <c r="C13" s="222">
        <f>'4 - حساب قوة سبق الاجهاد'!C34</f>
        <v>3360</v>
      </c>
      <c r="D13" s="223" t="s">
        <v>332</v>
      </c>
    </row>
    <row r="14" spans="1:4" x14ac:dyDescent="0.25">
      <c r="A14" s="221" t="s">
        <v>317</v>
      </c>
      <c r="B14" s="227" t="s">
        <v>318</v>
      </c>
      <c r="C14" s="222">
        <f>C7*(C10-'3- مسار الكابل'!C16)</f>
        <v>2152.499788511273</v>
      </c>
      <c r="D14" s="223" t="s">
        <v>319</v>
      </c>
    </row>
    <row r="15" spans="1:4" x14ac:dyDescent="0.25">
      <c r="A15" s="221" t="s">
        <v>320</v>
      </c>
      <c r="B15" s="228" t="s">
        <v>321</v>
      </c>
      <c r="C15" s="222">
        <f>'2-تحديد الحمولات'!C15</f>
        <v>1737.9140625000005</v>
      </c>
      <c r="D15" s="223" t="s">
        <v>319</v>
      </c>
    </row>
    <row r="16" spans="1:4" x14ac:dyDescent="0.25">
      <c r="A16" s="221" t="s">
        <v>322</v>
      </c>
      <c r="B16" s="227" t="s">
        <v>329</v>
      </c>
      <c r="C16" s="222">
        <f>C7*C4/(C3*C13)</f>
        <v>214.80230715589806</v>
      </c>
      <c r="D16" s="223" t="s">
        <v>27</v>
      </c>
    </row>
    <row r="17" spans="1:4" x14ac:dyDescent="0.25">
      <c r="A17" s="221" t="s">
        <v>323</v>
      </c>
      <c r="B17" s="227" t="s">
        <v>324</v>
      </c>
      <c r="C17" s="222">
        <f>(C7*C9/(C8*C11*1000000))+(C14*C9*C10*1000/(C8*C12*10^9))</f>
        <v>13.38658348874883</v>
      </c>
      <c r="D17" s="223" t="s">
        <v>27</v>
      </c>
    </row>
    <row r="18" spans="1:4" x14ac:dyDescent="0.25">
      <c r="A18" s="221" t="s">
        <v>325</v>
      </c>
      <c r="B18" s="227" t="s">
        <v>326</v>
      </c>
      <c r="C18" s="222">
        <f>C15*C9*C10*1000/(C8*C12*10^9)</f>
        <v>5.8224851378641613</v>
      </c>
      <c r="D18" s="223" t="s">
        <v>27</v>
      </c>
    </row>
    <row r="19" spans="1:4" x14ac:dyDescent="0.25">
      <c r="A19" s="221" t="s">
        <v>341</v>
      </c>
      <c r="B19" s="227" t="s">
        <v>328</v>
      </c>
      <c r="C19" s="222">
        <f>C16+C17-C18</f>
        <v>222.36640550678274</v>
      </c>
      <c r="D19" s="223" t="s">
        <v>27</v>
      </c>
    </row>
    <row r="20" spans="1:4" x14ac:dyDescent="0.25">
      <c r="A20" s="221" t="s">
        <v>337</v>
      </c>
      <c r="B20" s="227" t="s">
        <v>338</v>
      </c>
      <c r="C20" s="231">
        <v>2</v>
      </c>
      <c r="D20" s="223" t="s">
        <v>27</v>
      </c>
    </row>
    <row r="21" spans="1:4" x14ac:dyDescent="0.25">
      <c r="A21" s="221" t="s">
        <v>339</v>
      </c>
      <c r="B21" s="227" t="s">
        <v>342</v>
      </c>
      <c r="C21" s="231">
        <v>500</v>
      </c>
      <c r="D21" s="223" t="s">
        <v>27</v>
      </c>
    </row>
    <row r="22" spans="1:4" ht="21" thickBot="1" x14ac:dyDescent="0.3">
      <c r="A22" s="237" t="s">
        <v>340</v>
      </c>
      <c r="B22" s="238" t="s">
        <v>343</v>
      </c>
      <c r="C22" s="232">
        <f>C21+C20+C19</f>
        <v>724.36640550678271</v>
      </c>
      <c r="D22" s="239" t="s">
        <v>27</v>
      </c>
    </row>
    <row r="23" spans="1:4" ht="26.25" thickBot="1" x14ac:dyDescent="0.3">
      <c r="A23" s="571" t="s">
        <v>336</v>
      </c>
      <c r="B23" s="572"/>
      <c r="C23" s="573"/>
      <c r="D23" s="230">
        <v>2</v>
      </c>
    </row>
    <row r="24" spans="1:4" x14ac:dyDescent="0.25">
      <c r="A24" s="218" t="s">
        <v>298</v>
      </c>
      <c r="B24" s="226" t="s">
        <v>299</v>
      </c>
      <c r="C24" s="219">
        <f>'0- المعطيات'!I32</f>
        <v>200</v>
      </c>
      <c r="D24" s="220" t="s">
        <v>330</v>
      </c>
    </row>
    <row r="25" spans="1:4" x14ac:dyDescent="0.25">
      <c r="A25" s="221" t="s">
        <v>300</v>
      </c>
      <c r="B25" s="227" t="s">
        <v>301</v>
      </c>
      <c r="C25" s="222">
        <f>'3- مسار الكابل'!S25*1000</f>
        <v>30020.02126662145</v>
      </c>
      <c r="D25" s="223" t="s">
        <v>15</v>
      </c>
    </row>
    <row r="26" spans="1:4" ht="23.25" x14ac:dyDescent="0.25">
      <c r="A26" s="221" t="s">
        <v>302</v>
      </c>
      <c r="B26" s="227" t="s">
        <v>333</v>
      </c>
      <c r="C26" s="222">
        <f>0.8*'0- المعطيات'!I22*'4 - حساب قوة سبق الاجهاد'!C34/1000</f>
        <v>4999.68</v>
      </c>
      <c r="D26" s="223" t="s">
        <v>239</v>
      </c>
    </row>
    <row r="27" spans="1:4" x14ac:dyDescent="0.25">
      <c r="A27" s="221" t="s">
        <v>303</v>
      </c>
      <c r="B27" s="227" t="s">
        <v>304</v>
      </c>
      <c r="C27" s="222">
        <f>C26-(C26*'9-حساب الضياعات في وسط المجاز'!B19)</f>
        <v>4583.0633138955354</v>
      </c>
      <c r="D27" s="223" t="s">
        <v>239</v>
      </c>
    </row>
    <row r="28" spans="1:4" x14ac:dyDescent="0.25">
      <c r="A28" s="221" t="s">
        <v>305</v>
      </c>
      <c r="B28" s="227" t="s">
        <v>306</v>
      </c>
      <c r="C28" s="222">
        <f>0.5*(C26+C27)</f>
        <v>4791.3716569477674</v>
      </c>
      <c r="D28" s="223" t="s">
        <v>239</v>
      </c>
    </row>
    <row r="29" spans="1:4" ht="23.25" x14ac:dyDescent="0.25">
      <c r="A29" s="221" t="s">
        <v>8</v>
      </c>
      <c r="B29" s="227" t="s">
        <v>334</v>
      </c>
      <c r="C29" s="222">
        <f>'0- المعطيات'!I31</f>
        <v>32</v>
      </c>
      <c r="D29" s="223" t="s">
        <v>330</v>
      </c>
    </row>
    <row r="30" spans="1:4" x14ac:dyDescent="0.25">
      <c r="A30" s="221" t="s">
        <v>307</v>
      </c>
      <c r="B30" s="227" t="s">
        <v>308</v>
      </c>
      <c r="C30" s="224">
        <f>'0- المعطيات'!K10*1000</f>
        <v>30000</v>
      </c>
      <c r="D30" s="223" t="s">
        <v>27</v>
      </c>
    </row>
    <row r="31" spans="1:4" x14ac:dyDescent="0.25">
      <c r="A31" s="221" t="s">
        <v>309</v>
      </c>
      <c r="B31" s="227"/>
      <c r="C31" s="225">
        <f>'1- تحديد الأبعاد الأولية'!K25-'3- مسار الكابل'!C16</f>
        <v>0.67365753424657515</v>
      </c>
      <c r="D31" s="223" t="s">
        <v>4</v>
      </c>
    </row>
    <row r="32" spans="1:4" x14ac:dyDescent="0.25">
      <c r="A32" s="221" t="s">
        <v>310</v>
      </c>
      <c r="B32" s="228" t="s">
        <v>311</v>
      </c>
      <c r="C32" s="222">
        <f>'1- تحديد الأبعاد الأولية'!I25</f>
        <v>0.73</v>
      </c>
      <c r="D32" s="223" t="s">
        <v>331</v>
      </c>
    </row>
    <row r="33" spans="1:4" x14ac:dyDescent="0.25">
      <c r="A33" s="221" t="s">
        <v>312</v>
      </c>
      <c r="B33" s="228" t="s">
        <v>313</v>
      </c>
      <c r="C33" s="222">
        <f>'1- تحديد الأبعاد الأولية'!L25</f>
        <v>0.18850824771689489</v>
      </c>
      <c r="D33" s="223" t="s">
        <v>314</v>
      </c>
    </row>
    <row r="34" spans="1:4" x14ac:dyDescent="0.25">
      <c r="A34" s="221" t="s">
        <v>315</v>
      </c>
      <c r="B34" s="228" t="s">
        <v>316</v>
      </c>
      <c r="C34" s="222">
        <f>'4 - حساب قوة سبق الاجهاد'!C34</f>
        <v>3360</v>
      </c>
      <c r="D34" s="223" t="s">
        <v>332</v>
      </c>
    </row>
    <row r="35" spans="1:4" x14ac:dyDescent="0.25">
      <c r="A35" s="221" t="s">
        <v>317</v>
      </c>
      <c r="B35" s="227" t="s">
        <v>318</v>
      </c>
      <c r="C35" s="222">
        <f>C28*(C31-'3- مسار الكابل'!C16)</f>
        <v>2144.8936216081652</v>
      </c>
      <c r="D35" s="223" t="s">
        <v>319</v>
      </c>
    </row>
    <row r="36" spans="1:4" x14ac:dyDescent="0.25">
      <c r="A36" s="221" t="s">
        <v>320</v>
      </c>
      <c r="B36" s="228" t="s">
        <v>321</v>
      </c>
      <c r="C36" s="222">
        <f>'2-تحديد الحمولات'!C15</f>
        <v>1737.9140625000005</v>
      </c>
      <c r="D36" s="223" t="s">
        <v>319</v>
      </c>
    </row>
    <row r="37" spans="1:4" x14ac:dyDescent="0.25">
      <c r="A37" s="221" t="s">
        <v>322</v>
      </c>
      <c r="B37" s="227" t="s">
        <v>329</v>
      </c>
      <c r="C37" s="222">
        <f>C28*C25/(C24*C34)</f>
        <v>214.04327237776673</v>
      </c>
      <c r="D37" s="223" t="s">
        <v>27</v>
      </c>
    </row>
    <row r="38" spans="1:4" x14ac:dyDescent="0.25">
      <c r="A38" s="221" t="s">
        <v>323</v>
      </c>
      <c r="B38" s="227" t="s">
        <v>324</v>
      </c>
      <c r="C38" s="222">
        <f>(C28*C30/(C29*C32*1000000))+(C35*C30*C31*1000/(C29*C33*10^9))</f>
        <v>13.33928007491285</v>
      </c>
      <c r="D38" s="223" t="s">
        <v>27</v>
      </c>
    </row>
    <row r="39" spans="1:4" x14ac:dyDescent="0.25">
      <c r="A39" s="221" t="s">
        <v>325</v>
      </c>
      <c r="B39" s="227" t="s">
        <v>326</v>
      </c>
      <c r="C39" s="222">
        <f>C36*C30*C31*1000/(C29*C33*10^9)</f>
        <v>5.8224851378641613</v>
      </c>
      <c r="D39" s="223" t="s">
        <v>27</v>
      </c>
    </row>
    <row r="40" spans="1:4" x14ac:dyDescent="0.25">
      <c r="A40" s="221" t="s">
        <v>327</v>
      </c>
      <c r="B40" s="227" t="s">
        <v>328</v>
      </c>
      <c r="C40" s="222">
        <f>C37+C38-C39</f>
        <v>221.56006731481543</v>
      </c>
      <c r="D40" s="223" t="s">
        <v>27</v>
      </c>
    </row>
    <row r="41" spans="1:4" x14ac:dyDescent="0.25">
      <c r="A41" s="221" t="s">
        <v>337</v>
      </c>
      <c r="B41" s="227" t="s">
        <v>338</v>
      </c>
      <c r="C41" s="231">
        <v>2</v>
      </c>
      <c r="D41" s="223" t="s">
        <v>27</v>
      </c>
    </row>
    <row r="42" spans="1:4" x14ac:dyDescent="0.25">
      <c r="A42" s="221" t="s">
        <v>339</v>
      </c>
      <c r="B42" s="227" t="s">
        <v>342</v>
      </c>
      <c r="C42" s="231">
        <v>500</v>
      </c>
      <c r="D42" s="223" t="s">
        <v>27</v>
      </c>
    </row>
    <row r="43" spans="1:4" ht="21" thickBot="1" x14ac:dyDescent="0.3">
      <c r="A43" s="234" t="s">
        <v>340</v>
      </c>
      <c r="B43" s="236" t="s">
        <v>343</v>
      </c>
      <c r="C43" s="233">
        <f>C42+C41+C40</f>
        <v>723.56006731481546</v>
      </c>
      <c r="D43" s="235" t="s">
        <v>27</v>
      </c>
    </row>
  </sheetData>
  <mergeCells count="3">
    <mergeCell ref="A1:D1"/>
    <mergeCell ref="A2:C2"/>
    <mergeCell ref="A23:C23"/>
  </mergeCells>
  <printOptions horizontalCentered="1" verticalCentered="1"/>
  <pageMargins left="0.7" right="0.7" top="0.75" bottom="0.75" header="0.3" footer="0.3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72"/>
  <sheetViews>
    <sheetView workbookViewId="0">
      <selection activeCell="K14" sqref="K14"/>
    </sheetView>
  </sheetViews>
  <sheetFormatPr defaultColWidth="9" defaultRowHeight="18" x14ac:dyDescent="0.25"/>
  <cols>
    <col min="1" max="1" width="9" style="312"/>
    <col min="2" max="2" width="16.28515625" style="312" bestFit="1" customWidth="1"/>
    <col min="3" max="3" width="14.42578125" style="312" bestFit="1" customWidth="1"/>
    <col min="4" max="4" width="16.42578125" style="312" bestFit="1" customWidth="1"/>
    <col min="5" max="5" width="19.28515625" style="312" bestFit="1" customWidth="1"/>
    <col min="6" max="6" width="22.28515625" style="312" bestFit="1" customWidth="1"/>
    <col min="7" max="7" width="9" style="312"/>
    <col min="8" max="8" width="17.42578125" style="312" bestFit="1" customWidth="1"/>
    <col min="9" max="16384" width="9" style="312"/>
  </cols>
  <sheetData>
    <row r="1" spans="1:10" ht="18.75" thickBot="1" x14ac:dyDescent="0.3">
      <c r="A1" s="310"/>
      <c r="B1" s="311"/>
      <c r="C1" s="311"/>
      <c r="D1" s="311"/>
      <c r="E1" s="311"/>
      <c r="F1" s="311"/>
      <c r="G1" s="311"/>
      <c r="H1" s="311"/>
      <c r="I1" s="311"/>
      <c r="J1" s="311"/>
    </row>
    <row r="2" spans="1:10" x14ac:dyDescent="0.25">
      <c r="A2" s="310"/>
      <c r="B2" s="381" t="s">
        <v>216</v>
      </c>
      <c r="C2" s="382"/>
      <c r="D2" s="382"/>
      <c r="E2" s="382"/>
      <c r="F2" s="382"/>
      <c r="G2" s="382"/>
      <c r="H2" s="382"/>
      <c r="I2" s="383"/>
      <c r="J2" s="311"/>
    </row>
    <row r="3" spans="1:10" x14ac:dyDescent="0.25">
      <c r="A3" s="310"/>
      <c r="B3" s="388" t="s">
        <v>217</v>
      </c>
      <c r="C3" s="387" t="s">
        <v>218</v>
      </c>
      <c r="D3" s="387" t="s">
        <v>219</v>
      </c>
      <c r="E3" s="387" t="s">
        <v>220</v>
      </c>
      <c r="F3" s="387" t="s">
        <v>221</v>
      </c>
      <c r="G3" s="389"/>
      <c r="H3" s="387" t="s">
        <v>222</v>
      </c>
      <c r="I3" s="380"/>
      <c r="J3" s="311"/>
    </row>
    <row r="4" spans="1:10" x14ac:dyDescent="0.25">
      <c r="A4" s="310"/>
      <c r="B4" s="388"/>
      <c r="C4" s="387"/>
      <c r="D4" s="387"/>
      <c r="E4" s="387"/>
      <c r="F4" s="387"/>
      <c r="G4" s="389"/>
      <c r="H4" s="387"/>
      <c r="I4" s="380"/>
      <c r="J4" s="311"/>
    </row>
    <row r="5" spans="1:10" x14ac:dyDescent="0.25">
      <c r="A5" s="310"/>
      <c r="B5" s="320">
        <v>6801</v>
      </c>
      <c r="C5" s="321">
        <v>20</v>
      </c>
      <c r="D5" s="321">
        <v>25</v>
      </c>
      <c r="E5" s="321">
        <v>36</v>
      </c>
      <c r="F5" s="321">
        <v>1.8</v>
      </c>
      <c r="G5" s="322" t="s">
        <v>15</v>
      </c>
      <c r="H5" s="323">
        <f>3.14*(D5^2)/4000000</f>
        <v>4.9062499999999996E-4</v>
      </c>
      <c r="I5" s="324" t="s">
        <v>223</v>
      </c>
      <c r="J5" s="313"/>
    </row>
    <row r="6" spans="1:10" x14ac:dyDescent="0.25">
      <c r="A6" s="310"/>
      <c r="B6" s="320">
        <v>6802</v>
      </c>
      <c r="C6" s="321">
        <v>40</v>
      </c>
      <c r="D6" s="321">
        <v>45</v>
      </c>
      <c r="E6" s="321">
        <v>72</v>
      </c>
      <c r="F6" s="321">
        <v>1.8</v>
      </c>
      <c r="G6" s="322" t="s">
        <v>15</v>
      </c>
      <c r="H6" s="323">
        <f t="shared" ref="H6:H18" si="0">3.14*(D6^2)/4000000</f>
        <v>1.5896249999999999E-3</v>
      </c>
      <c r="I6" s="324" t="s">
        <v>223</v>
      </c>
      <c r="J6" s="313"/>
    </row>
    <row r="7" spans="1:10" x14ac:dyDescent="0.25">
      <c r="A7" s="310"/>
      <c r="B7" s="320">
        <v>6803</v>
      </c>
      <c r="C7" s="321">
        <v>50</v>
      </c>
      <c r="D7" s="321">
        <v>55</v>
      </c>
      <c r="E7" s="321">
        <v>90</v>
      </c>
      <c r="F7" s="321">
        <v>1.8</v>
      </c>
      <c r="G7" s="322" t="s">
        <v>15</v>
      </c>
      <c r="H7" s="323">
        <f t="shared" si="0"/>
        <v>2.374625E-3</v>
      </c>
      <c r="I7" s="324" t="s">
        <v>223</v>
      </c>
      <c r="J7" s="313"/>
    </row>
    <row r="8" spans="1:10" x14ac:dyDescent="0.25">
      <c r="A8" s="310"/>
      <c r="B8" s="320">
        <v>6804</v>
      </c>
      <c r="C8" s="321">
        <v>55</v>
      </c>
      <c r="D8" s="321">
        <v>60</v>
      </c>
      <c r="E8" s="321">
        <v>99</v>
      </c>
      <c r="F8" s="321">
        <v>1.8</v>
      </c>
      <c r="G8" s="322" t="s">
        <v>15</v>
      </c>
      <c r="H8" s="323">
        <f t="shared" si="0"/>
        <v>2.826E-3</v>
      </c>
      <c r="I8" s="324" t="s">
        <v>223</v>
      </c>
      <c r="J8" s="313"/>
    </row>
    <row r="9" spans="1:10" x14ac:dyDescent="0.25">
      <c r="A9" s="310"/>
      <c r="B9" s="320">
        <v>6805</v>
      </c>
      <c r="C9" s="321">
        <v>60</v>
      </c>
      <c r="D9" s="321">
        <v>65</v>
      </c>
      <c r="E9" s="321">
        <v>108</v>
      </c>
      <c r="F9" s="321">
        <v>1.8</v>
      </c>
      <c r="G9" s="322" t="s">
        <v>15</v>
      </c>
      <c r="H9" s="323">
        <f t="shared" si="0"/>
        <v>3.3166250000000001E-3</v>
      </c>
      <c r="I9" s="324" t="s">
        <v>223</v>
      </c>
      <c r="J9" s="313"/>
    </row>
    <row r="10" spans="1:10" s="316" customFormat="1" x14ac:dyDescent="0.25">
      <c r="A10" s="314"/>
      <c r="B10" s="320">
        <v>6806</v>
      </c>
      <c r="C10" s="321">
        <v>65</v>
      </c>
      <c r="D10" s="321">
        <v>70</v>
      </c>
      <c r="E10" s="321">
        <v>117</v>
      </c>
      <c r="F10" s="321">
        <v>1.8</v>
      </c>
      <c r="G10" s="322" t="s">
        <v>15</v>
      </c>
      <c r="H10" s="323">
        <f t="shared" si="0"/>
        <v>3.8465000000000001E-3</v>
      </c>
      <c r="I10" s="324" t="s">
        <v>223</v>
      </c>
      <c r="J10" s="315"/>
    </row>
    <row r="11" spans="1:10" s="318" customFormat="1" x14ac:dyDescent="0.25">
      <c r="A11" s="317"/>
      <c r="B11" s="320">
        <v>6807</v>
      </c>
      <c r="C11" s="321">
        <v>65</v>
      </c>
      <c r="D11" s="321">
        <v>70</v>
      </c>
      <c r="E11" s="321">
        <v>117</v>
      </c>
      <c r="F11" s="321">
        <v>1.8</v>
      </c>
      <c r="G11" s="322" t="s">
        <v>15</v>
      </c>
      <c r="H11" s="323">
        <f>3.14*(D11^2)/4000000</f>
        <v>3.8465000000000001E-3</v>
      </c>
      <c r="I11" s="324" t="s">
        <v>223</v>
      </c>
      <c r="J11" s="313"/>
    </row>
    <row r="12" spans="1:10" x14ac:dyDescent="0.25">
      <c r="A12" s="310"/>
      <c r="B12" s="320">
        <v>6809</v>
      </c>
      <c r="C12" s="321">
        <v>75</v>
      </c>
      <c r="D12" s="321">
        <v>80</v>
      </c>
      <c r="E12" s="321">
        <v>117</v>
      </c>
      <c r="F12" s="321">
        <v>1.8</v>
      </c>
      <c r="G12" s="322" t="s">
        <v>15</v>
      </c>
      <c r="H12" s="323">
        <f t="shared" si="0"/>
        <v>5.0239999999999998E-3</v>
      </c>
      <c r="I12" s="324" t="s">
        <v>223</v>
      </c>
      <c r="J12" s="313"/>
    </row>
    <row r="13" spans="1:10" x14ac:dyDescent="0.25">
      <c r="A13" s="310"/>
      <c r="B13" s="320">
        <v>6812</v>
      </c>
      <c r="C13" s="321">
        <v>80</v>
      </c>
      <c r="D13" s="321">
        <v>85</v>
      </c>
      <c r="E13" s="321">
        <v>144</v>
      </c>
      <c r="F13" s="321">
        <v>1.8</v>
      </c>
      <c r="G13" s="322" t="s">
        <v>15</v>
      </c>
      <c r="H13" s="323">
        <f t="shared" si="0"/>
        <v>5.6716249999999996E-3</v>
      </c>
      <c r="I13" s="324" t="s">
        <v>223</v>
      </c>
      <c r="J13" s="313"/>
    </row>
    <row r="14" spans="1:10" x14ac:dyDescent="0.25">
      <c r="A14" s="310"/>
      <c r="B14" s="320">
        <v>6815</v>
      </c>
      <c r="C14" s="321">
        <v>90</v>
      </c>
      <c r="D14" s="321">
        <v>95</v>
      </c>
      <c r="E14" s="321">
        <v>162</v>
      </c>
      <c r="F14" s="321">
        <v>1.8</v>
      </c>
      <c r="G14" s="322" t="s">
        <v>15</v>
      </c>
      <c r="H14" s="323">
        <f t="shared" si="0"/>
        <v>7.0846249999999998E-3</v>
      </c>
      <c r="I14" s="324" t="s">
        <v>223</v>
      </c>
      <c r="J14" s="313"/>
    </row>
    <row r="15" spans="1:10" x14ac:dyDescent="0.25">
      <c r="A15" s="310"/>
      <c r="B15" s="320">
        <v>6819</v>
      </c>
      <c r="C15" s="321">
        <v>95</v>
      </c>
      <c r="D15" s="321">
        <v>100</v>
      </c>
      <c r="E15" s="321">
        <v>171</v>
      </c>
      <c r="F15" s="321">
        <v>1.8</v>
      </c>
      <c r="G15" s="322" t="s">
        <v>15</v>
      </c>
      <c r="H15" s="323">
        <f t="shared" si="0"/>
        <v>7.8499999999999993E-3</v>
      </c>
      <c r="I15" s="324" t="s">
        <v>223</v>
      </c>
      <c r="J15" s="313"/>
    </row>
    <row r="16" spans="1:10" x14ac:dyDescent="0.25">
      <c r="A16" s="310"/>
      <c r="B16" s="320">
        <v>6822</v>
      </c>
      <c r="C16" s="321">
        <v>100</v>
      </c>
      <c r="D16" s="321">
        <v>105</v>
      </c>
      <c r="E16" s="321">
        <v>180</v>
      </c>
      <c r="F16" s="321">
        <v>1.8</v>
      </c>
      <c r="G16" s="322" t="s">
        <v>15</v>
      </c>
      <c r="H16" s="323">
        <f t="shared" si="0"/>
        <v>8.6546250000000009E-3</v>
      </c>
      <c r="I16" s="324" t="s">
        <v>223</v>
      </c>
      <c r="J16" s="313"/>
    </row>
    <row r="17" spans="1:10" x14ac:dyDescent="0.25">
      <c r="A17" s="310"/>
      <c r="B17" s="320">
        <v>6827</v>
      </c>
      <c r="C17" s="321">
        <v>110</v>
      </c>
      <c r="D17" s="321">
        <v>118</v>
      </c>
      <c r="E17" s="321">
        <v>198</v>
      </c>
      <c r="F17" s="321">
        <v>1.8</v>
      </c>
      <c r="G17" s="322" t="s">
        <v>15</v>
      </c>
      <c r="H17" s="323">
        <f t="shared" si="0"/>
        <v>1.093034E-2</v>
      </c>
      <c r="I17" s="324" t="s">
        <v>223</v>
      </c>
      <c r="J17" s="313"/>
    </row>
    <row r="18" spans="1:10" ht="18.75" thickBot="1" x14ac:dyDescent="0.3">
      <c r="A18" s="310"/>
      <c r="B18" s="328">
        <v>6837</v>
      </c>
      <c r="C18" s="329">
        <v>130</v>
      </c>
      <c r="D18" s="329">
        <v>138</v>
      </c>
      <c r="E18" s="329">
        <v>235</v>
      </c>
      <c r="F18" s="329">
        <v>1.8</v>
      </c>
      <c r="G18" s="330" t="s">
        <v>15</v>
      </c>
      <c r="H18" s="331">
        <f t="shared" si="0"/>
        <v>1.4949540000000001E-2</v>
      </c>
      <c r="I18" s="332" t="s">
        <v>223</v>
      </c>
      <c r="J18" s="313"/>
    </row>
    <row r="19" spans="1:10" ht="18.75" thickBot="1" x14ac:dyDescent="0.3">
      <c r="A19" s="310"/>
      <c r="B19" s="313"/>
      <c r="C19" s="319"/>
      <c r="D19" s="311"/>
      <c r="E19" s="311"/>
      <c r="F19" s="311"/>
      <c r="G19" s="311"/>
      <c r="H19" s="311"/>
      <c r="I19" s="311"/>
      <c r="J19" s="311"/>
    </row>
    <row r="20" spans="1:10" x14ac:dyDescent="0.25">
      <c r="A20" s="310"/>
      <c r="B20" s="384" t="s">
        <v>224</v>
      </c>
      <c r="C20" s="385"/>
      <c r="D20" s="385"/>
      <c r="E20" s="385"/>
      <c r="F20" s="385"/>
      <c r="G20" s="386"/>
      <c r="H20" s="311"/>
      <c r="I20" s="311"/>
      <c r="J20" s="311"/>
    </row>
    <row r="21" spans="1:10" x14ac:dyDescent="0.25">
      <c r="A21" s="310"/>
      <c r="B21" s="320" t="s">
        <v>225</v>
      </c>
      <c r="C21" s="321" t="s">
        <v>226</v>
      </c>
      <c r="D21" s="321" t="s">
        <v>227</v>
      </c>
      <c r="E21" s="321" t="s">
        <v>228</v>
      </c>
      <c r="F21" s="321" t="s">
        <v>229</v>
      </c>
      <c r="G21" s="333"/>
      <c r="H21" s="311"/>
      <c r="I21" s="311"/>
      <c r="J21" s="311"/>
    </row>
    <row r="22" spans="1:10" s="318" customFormat="1" x14ac:dyDescent="0.25">
      <c r="A22" s="317"/>
      <c r="B22" s="320">
        <v>3</v>
      </c>
      <c r="C22" s="321">
        <v>125</v>
      </c>
      <c r="D22" s="321">
        <v>140</v>
      </c>
      <c r="E22" s="321">
        <v>41</v>
      </c>
      <c r="F22" s="321">
        <v>200</v>
      </c>
      <c r="G22" s="324" t="s">
        <v>15</v>
      </c>
      <c r="H22" s="313"/>
      <c r="I22" s="313"/>
      <c r="J22" s="313"/>
    </row>
    <row r="23" spans="1:10" s="318" customFormat="1" x14ac:dyDescent="0.25">
      <c r="A23" s="317"/>
      <c r="B23" s="320">
        <v>4</v>
      </c>
      <c r="C23" s="321">
        <v>135</v>
      </c>
      <c r="D23" s="321">
        <v>160</v>
      </c>
      <c r="E23" s="321">
        <v>41</v>
      </c>
      <c r="F23" s="321">
        <v>200</v>
      </c>
      <c r="G23" s="324" t="s">
        <v>15</v>
      </c>
      <c r="H23" s="313"/>
      <c r="I23" s="313"/>
      <c r="J23" s="313"/>
    </row>
    <row r="24" spans="1:10" s="318" customFormat="1" x14ac:dyDescent="0.25">
      <c r="A24" s="317"/>
      <c r="B24" s="320">
        <v>5</v>
      </c>
      <c r="C24" s="321">
        <v>150</v>
      </c>
      <c r="D24" s="321">
        <v>180</v>
      </c>
      <c r="E24" s="321">
        <v>40</v>
      </c>
      <c r="F24" s="321">
        <v>300</v>
      </c>
      <c r="G24" s="324" t="s">
        <v>15</v>
      </c>
      <c r="H24" s="313"/>
      <c r="I24" s="313"/>
      <c r="J24" s="313"/>
    </row>
    <row r="25" spans="1:10" s="316" customFormat="1" x14ac:dyDescent="0.25">
      <c r="A25" s="314"/>
      <c r="B25" s="325">
        <v>6</v>
      </c>
      <c r="C25" s="326">
        <v>165</v>
      </c>
      <c r="D25" s="326">
        <v>205</v>
      </c>
      <c r="E25" s="326">
        <v>44</v>
      </c>
      <c r="F25" s="326">
        <v>270</v>
      </c>
      <c r="G25" s="327" t="s">
        <v>15</v>
      </c>
      <c r="H25" s="315"/>
      <c r="I25" s="315"/>
      <c r="J25" s="315"/>
    </row>
    <row r="26" spans="1:10" s="318" customFormat="1" x14ac:dyDescent="0.25">
      <c r="A26" s="317"/>
      <c r="B26" s="320">
        <v>7</v>
      </c>
      <c r="C26" s="321">
        <v>170</v>
      </c>
      <c r="D26" s="321">
        <v>215</v>
      </c>
      <c r="E26" s="321">
        <v>44</v>
      </c>
      <c r="F26" s="321">
        <v>270</v>
      </c>
      <c r="G26" s="324" t="s">
        <v>15</v>
      </c>
      <c r="H26" s="313"/>
      <c r="I26" s="313"/>
      <c r="J26" s="313"/>
    </row>
    <row r="27" spans="1:10" s="318" customFormat="1" x14ac:dyDescent="0.25">
      <c r="A27" s="317"/>
      <c r="B27" s="320">
        <v>8</v>
      </c>
      <c r="C27" s="321">
        <v>180</v>
      </c>
      <c r="D27" s="321">
        <v>230</v>
      </c>
      <c r="E27" s="321">
        <v>48</v>
      </c>
      <c r="F27" s="321">
        <v>325</v>
      </c>
      <c r="G27" s="324" t="s">
        <v>15</v>
      </c>
      <c r="H27" s="313"/>
      <c r="I27" s="313"/>
      <c r="J27" s="313"/>
    </row>
    <row r="28" spans="1:10" s="318" customFormat="1" ht="18.75" thickBot="1" x14ac:dyDescent="0.3">
      <c r="A28" s="317"/>
      <c r="B28" s="328">
        <v>9</v>
      </c>
      <c r="C28" s="329">
        <v>190</v>
      </c>
      <c r="D28" s="329">
        <v>245</v>
      </c>
      <c r="E28" s="329">
        <v>48</v>
      </c>
      <c r="F28" s="329">
        <v>325</v>
      </c>
      <c r="G28" s="332" t="s">
        <v>15</v>
      </c>
      <c r="H28" s="313"/>
      <c r="I28" s="313"/>
      <c r="J28" s="313"/>
    </row>
    <row r="29" spans="1:10" s="318" customFormat="1" x14ac:dyDescent="0.25">
      <c r="A29" s="317"/>
      <c r="B29" s="313"/>
      <c r="C29" s="313"/>
      <c r="D29" s="313"/>
      <c r="E29" s="313"/>
      <c r="F29" s="313"/>
      <c r="G29" s="313"/>
      <c r="H29" s="313"/>
      <c r="I29" s="313"/>
      <c r="J29" s="313"/>
    </row>
    <row r="30" spans="1:10" x14ac:dyDescent="0.25">
      <c r="A30" s="310"/>
      <c r="B30" s="311"/>
      <c r="C30" s="311"/>
      <c r="D30" s="311"/>
      <c r="E30" s="311"/>
      <c r="F30" s="311"/>
      <c r="G30" s="311"/>
      <c r="H30" s="311"/>
      <c r="I30" s="311"/>
      <c r="J30" s="311"/>
    </row>
    <row r="31" spans="1:10" x14ac:dyDescent="0.25">
      <c r="A31" s="310"/>
      <c r="B31" s="311"/>
      <c r="C31" s="311"/>
      <c r="D31" s="311"/>
      <c r="E31" s="311"/>
      <c r="F31" s="311"/>
      <c r="G31" s="311"/>
      <c r="H31" s="311"/>
      <c r="I31" s="311"/>
      <c r="J31" s="311"/>
    </row>
    <row r="32" spans="1:10" x14ac:dyDescent="0.25">
      <c r="A32" s="310"/>
      <c r="B32" s="311"/>
      <c r="C32" s="311"/>
      <c r="D32" s="311"/>
      <c r="E32" s="311"/>
      <c r="F32" s="311"/>
      <c r="G32" s="311"/>
      <c r="H32" s="311"/>
      <c r="I32" s="311"/>
      <c r="J32" s="311"/>
    </row>
    <row r="33" spans="1:10" x14ac:dyDescent="0.25">
      <c r="A33" s="310"/>
      <c r="B33" s="311"/>
      <c r="C33" s="311"/>
      <c r="D33" s="311"/>
      <c r="E33" s="311"/>
      <c r="F33" s="311"/>
      <c r="G33" s="311"/>
      <c r="H33" s="311"/>
      <c r="I33" s="311"/>
      <c r="J33" s="311"/>
    </row>
    <row r="34" spans="1:10" x14ac:dyDescent="0.25">
      <c r="A34" s="310"/>
      <c r="B34" s="311"/>
      <c r="C34" s="311"/>
      <c r="D34" s="311"/>
      <c r="E34" s="311"/>
      <c r="F34" s="311"/>
      <c r="G34" s="311"/>
      <c r="H34" s="311"/>
      <c r="I34" s="311"/>
      <c r="J34" s="311"/>
    </row>
    <row r="35" spans="1:10" x14ac:dyDescent="0.25">
      <c r="A35" s="310"/>
      <c r="B35" s="311"/>
      <c r="C35" s="311"/>
      <c r="D35" s="311"/>
      <c r="E35" s="311"/>
      <c r="F35" s="311"/>
      <c r="G35" s="311"/>
      <c r="H35" s="311"/>
      <c r="I35" s="311"/>
      <c r="J35" s="311"/>
    </row>
    <row r="36" spans="1:10" x14ac:dyDescent="0.25">
      <c r="A36" s="310"/>
      <c r="B36" s="311"/>
      <c r="C36" s="311"/>
      <c r="D36" s="311"/>
      <c r="E36" s="311"/>
      <c r="F36" s="311"/>
      <c r="G36" s="311"/>
      <c r="H36" s="311"/>
      <c r="I36" s="311"/>
      <c r="J36" s="311"/>
    </row>
    <row r="37" spans="1:10" x14ac:dyDescent="0.25">
      <c r="A37" s="310"/>
      <c r="B37" s="311"/>
      <c r="C37" s="311"/>
      <c r="D37" s="311"/>
      <c r="E37" s="311"/>
      <c r="F37" s="311"/>
      <c r="G37" s="311"/>
      <c r="H37" s="311"/>
      <c r="I37" s="311"/>
      <c r="J37" s="311"/>
    </row>
    <row r="38" spans="1:10" x14ac:dyDescent="0.25">
      <c r="A38" s="310"/>
      <c r="B38" s="311"/>
      <c r="C38" s="311"/>
      <c r="D38" s="311"/>
      <c r="E38" s="311"/>
      <c r="F38" s="311"/>
      <c r="G38" s="311"/>
      <c r="H38" s="311"/>
      <c r="I38" s="311"/>
      <c r="J38" s="311"/>
    </row>
    <row r="39" spans="1:10" x14ac:dyDescent="0.25">
      <c r="A39" s="310"/>
      <c r="B39" s="311"/>
      <c r="C39" s="311"/>
      <c r="D39" s="311"/>
      <c r="E39" s="311"/>
      <c r="F39" s="311"/>
      <c r="G39" s="311"/>
      <c r="H39" s="311"/>
      <c r="I39" s="311"/>
      <c r="J39" s="311"/>
    </row>
    <row r="40" spans="1:10" x14ac:dyDescent="0.25">
      <c r="A40" s="310"/>
      <c r="B40" s="311"/>
      <c r="C40" s="311"/>
      <c r="D40" s="311"/>
      <c r="E40" s="311"/>
      <c r="F40" s="311"/>
      <c r="G40" s="311"/>
      <c r="H40" s="311"/>
      <c r="I40" s="311"/>
      <c r="J40" s="311"/>
    </row>
    <row r="41" spans="1:10" x14ac:dyDescent="0.25">
      <c r="A41" s="310"/>
      <c r="B41" s="311"/>
      <c r="C41" s="311"/>
      <c r="D41" s="311"/>
      <c r="E41" s="311"/>
      <c r="F41" s="311"/>
      <c r="G41" s="311"/>
      <c r="H41" s="311"/>
      <c r="I41" s="311"/>
      <c r="J41" s="311"/>
    </row>
    <row r="42" spans="1:10" x14ac:dyDescent="0.25">
      <c r="A42" s="310"/>
      <c r="B42" s="311"/>
      <c r="C42" s="311"/>
      <c r="D42" s="311"/>
      <c r="E42" s="311"/>
      <c r="F42" s="311"/>
      <c r="G42" s="311"/>
      <c r="H42" s="311"/>
      <c r="I42" s="311"/>
      <c r="J42" s="311"/>
    </row>
    <row r="43" spans="1:10" x14ac:dyDescent="0.25">
      <c r="A43" s="310"/>
      <c r="B43" s="311"/>
      <c r="C43" s="311"/>
      <c r="D43" s="311"/>
      <c r="E43" s="311"/>
      <c r="F43" s="311"/>
      <c r="G43" s="311"/>
      <c r="H43" s="311"/>
      <c r="I43" s="311"/>
      <c r="J43" s="311"/>
    </row>
    <row r="44" spans="1:10" x14ac:dyDescent="0.25">
      <c r="A44" s="310"/>
      <c r="B44" s="311"/>
      <c r="C44" s="311"/>
      <c r="D44" s="311"/>
      <c r="E44" s="311"/>
      <c r="F44" s="311"/>
      <c r="G44" s="311"/>
      <c r="H44" s="311"/>
      <c r="I44" s="311"/>
      <c r="J44" s="311"/>
    </row>
    <row r="45" spans="1:10" x14ac:dyDescent="0.25">
      <c r="A45" s="310"/>
      <c r="B45" s="311"/>
      <c r="C45" s="311"/>
      <c r="D45" s="311"/>
      <c r="E45" s="311"/>
      <c r="F45" s="311"/>
      <c r="G45" s="311"/>
      <c r="H45" s="311"/>
      <c r="I45" s="311"/>
      <c r="J45" s="311"/>
    </row>
    <row r="46" spans="1:10" x14ac:dyDescent="0.25">
      <c r="A46" s="310"/>
      <c r="B46" s="311"/>
      <c r="C46" s="311"/>
      <c r="D46" s="311"/>
      <c r="E46" s="311"/>
      <c r="F46" s="311"/>
      <c r="G46" s="311"/>
      <c r="H46" s="311"/>
      <c r="I46" s="311"/>
      <c r="J46" s="311"/>
    </row>
    <row r="47" spans="1:10" x14ac:dyDescent="0.25">
      <c r="A47" s="310"/>
      <c r="B47" s="311"/>
      <c r="C47" s="311"/>
      <c r="D47" s="311"/>
      <c r="E47" s="311"/>
      <c r="F47" s="311"/>
      <c r="G47" s="311"/>
      <c r="H47" s="311"/>
      <c r="I47" s="311"/>
      <c r="J47" s="311"/>
    </row>
    <row r="48" spans="1:10" x14ac:dyDescent="0.25">
      <c r="A48" s="310"/>
      <c r="B48" s="311"/>
      <c r="C48" s="311"/>
      <c r="D48" s="311"/>
      <c r="E48" s="311"/>
      <c r="F48" s="311"/>
      <c r="G48" s="311"/>
      <c r="H48" s="311"/>
      <c r="I48" s="311"/>
      <c r="J48" s="311"/>
    </row>
    <row r="49" spans="1:10" x14ac:dyDescent="0.25">
      <c r="A49" s="310"/>
      <c r="B49" s="311"/>
      <c r="C49" s="311"/>
      <c r="D49" s="311"/>
      <c r="E49" s="311"/>
      <c r="F49" s="311"/>
      <c r="G49" s="311"/>
      <c r="H49" s="311"/>
      <c r="I49" s="311"/>
      <c r="J49" s="311"/>
    </row>
    <row r="50" spans="1:10" x14ac:dyDescent="0.25">
      <c r="A50" s="310"/>
      <c r="B50" s="311"/>
      <c r="C50" s="311"/>
      <c r="D50" s="311"/>
      <c r="E50" s="311"/>
      <c r="F50" s="311"/>
      <c r="G50" s="311"/>
      <c r="H50" s="311"/>
      <c r="I50" s="311"/>
      <c r="J50" s="311"/>
    </row>
    <row r="51" spans="1:10" x14ac:dyDescent="0.25">
      <c r="A51" s="310"/>
      <c r="B51" s="311"/>
      <c r="C51" s="311"/>
      <c r="D51" s="311"/>
      <c r="E51" s="311"/>
      <c r="F51" s="311"/>
      <c r="G51" s="311"/>
      <c r="H51" s="311"/>
      <c r="I51" s="311"/>
      <c r="J51" s="311"/>
    </row>
    <row r="52" spans="1:10" x14ac:dyDescent="0.25">
      <c r="A52" s="310"/>
      <c r="B52" s="311"/>
      <c r="C52" s="311"/>
      <c r="D52" s="311"/>
      <c r="E52" s="311"/>
      <c r="F52" s="311"/>
      <c r="G52" s="311"/>
      <c r="H52" s="311"/>
      <c r="I52" s="311"/>
      <c r="J52" s="311"/>
    </row>
    <row r="53" spans="1:10" x14ac:dyDescent="0.25">
      <c r="A53" s="310"/>
      <c r="B53" s="311"/>
      <c r="C53" s="311"/>
      <c r="D53" s="311"/>
      <c r="E53" s="311"/>
      <c r="F53" s="311"/>
      <c r="G53" s="311"/>
      <c r="H53" s="311"/>
      <c r="I53" s="311"/>
      <c r="J53" s="311"/>
    </row>
    <row r="54" spans="1:10" x14ac:dyDescent="0.25">
      <c r="A54" s="310"/>
      <c r="B54" s="311"/>
      <c r="C54" s="311"/>
      <c r="D54" s="311"/>
      <c r="E54" s="311"/>
      <c r="F54" s="311"/>
      <c r="G54" s="311"/>
      <c r="H54" s="311"/>
      <c r="I54" s="311"/>
      <c r="J54" s="311"/>
    </row>
    <row r="55" spans="1:10" x14ac:dyDescent="0.25">
      <c r="A55" s="310"/>
      <c r="B55" s="311"/>
      <c r="C55" s="311"/>
      <c r="D55" s="311"/>
      <c r="E55" s="311"/>
      <c r="F55" s="311"/>
      <c r="G55" s="311"/>
      <c r="H55" s="311"/>
      <c r="I55" s="311"/>
      <c r="J55" s="311"/>
    </row>
    <row r="56" spans="1:10" x14ac:dyDescent="0.25">
      <c r="A56" s="310"/>
      <c r="B56" s="311"/>
      <c r="C56" s="311"/>
      <c r="D56" s="311"/>
      <c r="E56" s="311"/>
      <c r="F56" s="311"/>
      <c r="G56" s="311"/>
      <c r="H56" s="311"/>
      <c r="I56" s="311"/>
      <c r="J56" s="311"/>
    </row>
    <row r="57" spans="1:10" x14ac:dyDescent="0.25">
      <c r="A57" s="310"/>
      <c r="B57" s="310"/>
      <c r="C57" s="310"/>
      <c r="D57" s="310"/>
      <c r="E57" s="310"/>
      <c r="F57" s="310"/>
      <c r="G57" s="310"/>
      <c r="H57" s="310"/>
      <c r="I57" s="310"/>
      <c r="J57" s="310"/>
    </row>
    <row r="58" spans="1:10" x14ac:dyDescent="0.25">
      <c r="A58" s="310"/>
      <c r="B58" s="310"/>
      <c r="C58" s="310"/>
      <c r="D58" s="310"/>
      <c r="E58" s="310"/>
      <c r="F58" s="310"/>
      <c r="G58" s="310"/>
      <c r="H58" s="310"/>
      <c r="I58" s="310"/>
      <c r="J58" s="310"/>
    </row>
    <row r="59" spans="1:10" x14ac:dyDescent="0.25">
      <c r="A59" s="310"/>
      <c r="B59" s="310"/>
      <c r="C59" s="310"/>
      <c r="D59" s="310"/>
      <c r="E59" s="310"/>
      <c r="F59" s="310"/>
      <c r="G59" s="310"/>
      <c r="H59" s="310"/>
      <c r="I59" s="310"/>
      <c r="J59" s="310"/>
    </row>
    <row r="60" spans="1:10" x14ac:dyDescent="0.25">
      <c r="A60" s="310"/>
      <c r="B60" s="310"/>
      <c r="C60" s="310"/>
      <c r="D60" s="310"/>
      <c r="E60" s="310"/>
      <c r="F60" s="310"/>
      <c r="G60" s="310"/>
      <c r="H60" s="310"/>
      <c r="I60" s="310"/>
      <c r="J60" s="310"/>
    </row>
    <row r="61" spans="1:10" x14ac:dyDescent="0.25">
      <c r="A61" s="310"/>
      <c r="B61" s="310"/>
      <c r="C61" s="310"/>
      <c r="D61" s="310"/>
      <c r="E61" s="310"/>
      <c r="F61" s="310"/>
      <c r="G61" s="310"/>
      <c r="H61" s="310"/>
      <c r="I61" s="310"/>
      <c r="J61" s="310"/>
    </row>
    <row r="62" spans="1:10" x14ac:dyDescent="0.25">
      <c r="A62" s="310"/>
      <c r="B62" s="310"/>
      <c r="C62" s="310"/>
      <c r="D62" s="310"/>
      <c r="E62" s="310"/>
      <c r="F62" s="310"/>
      <c r="G62" s="310"/>
      <c r="H62" s="310"/>
      <c r="I62" s="310"/>
      <c r="J62" s="310"/>
    </row>
    <row r="63" spans="1:10" x14ac:dyDescent="0.25">
      <c r="A63" s="310"/>
      <c r="B63" s="310"/>
      <c r="C63" s="310"/>
      <c r="D63" s="310"/>
      <c r="E63" s="310"/>
      <c r="F63" s="310"/>
      <c r="G63" s="310"/>
      <c r="H63" s="310"/>
      <c r="I63" s="310"/>
      <c r="J63" s="310"/>
    </row>
    <row r="64" spans="1:10" x14ac:dyDescent="0.25">
      <c r="A64" s="310"/>
      <c r="B64" s="310"/>
      <c r="C64" s="310"/>
      <c r="D64" s="310"/>
      <c r="E64" s="310"/>
      <c r="F64" s="310"/>
      <c r="G64" s="310"/>
      <c r="H64" s="310"/>
      <c r="I64" s="310"/>
      <c r="J64" s="310"/>
    </row>
    <row r="65" spans="1:10" x14ac:dyDescent="0.25">
      <c r="A65" s="310"/>
      <c r="B65" s="310"/>
      <c r="C65" s="310"/>
      <c r="D65" s="310"/>
      <c r="E65" s="310"/>
      <c r="F65" s="310"/>
      <c r="G65" s="310"/>
      <c r="H65" s="310"/>
      <c r="I65" s="310"/>
      <c r="J65" s="310"/>
    </row>
    <row r="66" spans="1:10" x14ac:dyDescent="0.25">
      <c r="A66" s="310"/>
      <c r="B66" s="310"/>
      <c r="C66" s="310"/>
      <c r="D66" s="310"/>
      <c r="E66" s="310"/>
      <c r="F66" s="310"/>
      <c r="G66" s="310"/>
      <c r="H66" s="310"/>
      <c r="I66" s="310"/>
      <c r="J66" s="310"/>
    </row>
    <row r="67" spans="1:10" x14ac:dyDescent="0.25">
      <c r="A67" s="310"/>
      <c r="B67" s="310"/>
      <c r="C67" s="310"/>
      <c r="D67" s="310"/>
      <c r="E67" s="310"/>
      <c r="F67" s="310"/>
      <c r="G67" s="310"/>
      <c r="H67" s="310"/>
      <c r="I67" s="310"/>
      <c r="J67" s="310"/>
    </row>
    <row r="68" spans="1:10" x14ac:dyDescent="0.25">
      <c r="A68" s="310"/>
      <c r="B68" s="310"/>
      <c r="C68" s="310"/>
      <c r="D68" s="310"/>
      <c r="E68" s="310"/>
      <c r="F68" s="310"/>
      <c r="G68" s="310"/>
      <c r="H68" s="310"/>
      <c r="I68" s="310"/>
      <c r="J68" s="310"/>
    </row>
    <row r="69" spans="1:10" x14ac:dyDescent="0.25">
      <c r="A69" s="310"/>
      <c r="B69" s="310"/>
      <c r="C69" s="310"/>
      <c r="D69" s="310"/>
      <c r="E69" s="310"/>
      <c r="F69" s="310"/>
      <c r="G69" s="310"/>
      <c r="H69" s="310"/>
      <c r="I69" s="310"/>
      <c r="J69" s="310"/>
    </row>
    <row r="70" spans="1:10" x14ac:dyDescent="0.25">
      <c r="A70" s="310"/>
      <c r="B70" s="310"/>
      <c r="C70" s="310"/>
      <c r="D70" s="310"/>
      <c r="E70" s="310"/>
      <c r="F70" s="310"/>
      <c r="G70" s="310"/>
      <c r="H70" s="310"/>
      <c r="I70" s="310"/>
      <c r="J70" s="310"/>
    </row>
    <row r="71" spans="1:10" x14ac:dyDescent="0.25">
      <c r="A71" s="310"/>
      <c r="B71" s="310"/>
      <c r="C71" s="310"/>
      <c r="D71" s="310"/>
      <c r="E71" s="310"/>
      <c r="F71" s="310"/>
      <c r="G71" s="310"/>
      <c r="H71" s="310"/>
      <c r="I71" s="310"/>
      <c r="J71" s="310"/>
    </row>
    <row r="72" spans="1:10" x14ac:dyDescent="0.25">
      <c r="A72" s="310"/>
      <c r="B72" s="310"/>
      <c r="C72" s="310"/>
      <c r="D72" s="310"/>
      <c r="E72" s="310"/>
      <c r="F72" s="310"/>
      <c r="G72" s="310"/>
      <c r="H72" s="310"/>
      <c r="I72" s="310"/>
      <c r="J72" s="310"/>
    </row>
  </sheetData>
  <mergeCells count="10">
    <mergeCell ref="I3:I4"/>
    <mergeCell ref="B2:I2"/>
    <mergeCell ref="B20:G20"/>
    <mergeCell ref="H3:H4"/>
    <mergeCell ref="B3:B4"/>
    <mergeCell ref="C3:C4"/>
    <mergeCell ref="D3:D4"/>
    <mergeCell ref="E3:E4"/>
    <mergeCell ref="F3:F4"/>
    <mergeCell ref="G3:G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ورقة2">
    <tabColor rgb="FF92D050"/>
    <pageSetUpPr fitToPage="1"/>
  </sheetPr>
  <dimension ref="A1:V71"/>
  <sheetViews>
    <sheetView showGridLines="0" topLeftCell="B37" zoomScale="80" zoomScaleNormal="80" workbookViewId="0">
      <selection activeCell="I19" sqref="I19:I34"/>
    </sheetView>
  </sheetViews>
  <sheetFormatPr defaultColWidth="9" defaultRowHeight="15.75" x14ac:dyDescent="0.25"/>
  <cols>
    <col min="1" max="1" width="13.140625" style="42" hidden="1" customWidth="1"/>
    <col min="2" max="2" width="15" style="4" customWidth="1"/>
    <col min="3" max="11" width="13.140625" style="4" customWidth="1"/>
    <col min="12" max="12" width="13.5703125" style="4" customWidth="1"/>
    <col min="13" max="14" width="17.28515625" style="4" bestFit="1" customWidth="1"/>
    <col min="15" max="19" width="0" style="4" hidden="1" customWidth="1"/>
    <col min="20" max="20" width="10.85546875" style="4" bestFit="1" customWidth="1"/>
    <col min="21" max="16384" width="9" style="4"/>
  </cols>
  <sheetData>
    <row r="1" spans="1:20" ht="21" thickBot="1" x14ac:dyDescent="0.3">
      <c r="A1" s="50"/>
      <c r="B1" s="396" t="s">
        <v>269</v>
      </c>
      <c r="C1" s="397"/>
      <c r="D1" s="9"/>
      <c r="J1" s="112" t="s">
        <v>358</v>
      </c>
      <c r="K1" s="35">
        <v>0.6</v>
      </c>
    </row>
    <row r="2" spans="1:20" ht="21" thickBot="1" x14ac:dyDescent="0.3">
      <c r="E2" s="112" t="s">
        <v>358</v>
      </c>
      <c r="F2" s="35">
        <v>0.6</v>
      </c>
    </row>
    <row r="3" spans="1:20" ht="21" thickBot="1" x14ac:dyDescent="0.3">
      <c r="H3" s="112" t="s">
        <v>118</v>
      </c>
      <c r="I3" s="35">
        <v>0.25</v>
      </c>
      <c r="T3" s="42"/>
    </row>
    <row r="4" spans="1:20" x14ac:dyDescent="0.25">
      <c r="T4" s="42"/>
    </row>
    <row r="5" spans="1:20" x14ac:dyDescent="0.25">
      <c r="T5" s="42"/>
    </row>
    <row r="6" spans="1:20" ht="16.5" thickBot="1" x14ac:dyDescent="0.3">
      <c r="T6" s="42"/>
    </row>
    <row r="7" spans="1:20" ht="21" thickBot="1" x14ac:dyDescent="0.3">
      <c r="C7" s="112" t="s">
        <v>117</v>
      </c>
      <c r="D7" s="142">
        <f>$D$34</f>
        <v>1.2499999999999993</v>
      </c>
      <c r="H7" s="112" t="s">
        <v>119</v>
      </c>
      <c r="I7" s="35">
        <v>2</v>
      </c>
      <c r="T7" s="42"/>
    </row>
    <row r="8" spans="1:20" x14ac:dyDescent="0.25">
      <c r="T8" s="42"/>
    </row>
    <row r="9" spans="1:20" x14ac:dyDescent="0.25">
      <c r="T9" s="42"/>
    </row>
    <row r="10" spans="1:20" x14ac:dyDescent="0.25">
      <c r="T10" s="42"/>
    </row>
    <row r="11" spans="1:20" ht="16.5" thickBot="1" x14ac:dyDescent="0.3">
      <c r="T11" s="42"/>
    </row>
    <row r="12" spans="1:20" ht="21" thickBot="1" x14ac:dyDescent="0.3">
      <c r="H12" s="112" t="s">
        <v>120</v>
      </c>
      <c r="I12" s="35">
        <v>0.4</v>
      </c>
      <c r="T12" s="42"/>
    </row>
    <row r="13" spans="1:20" x14ac:dyDescent="0.25">
      <c r="T13" s="42"/>
    </row>
    <row r="14" spans="1:20" x14ac:dyDescent="0.25">
      <c r="I14"/>
      <c r="T14" s="42"/>
    </row>
    <row r="15" spans="1:20" x14ac:dyDescent="0.25">
      <c r="T15" s="42"/>
    </row>
    <row r="16" spans="1:20" ht="12" customHeight="1" thickBot="1" x14ac:dyDescent="0.3">
      <c r="T16" s="42"/>
    </row>
    <row r="17" spans="1:22" ht="30.75" customHeight="1" thickBot="1" x14ac:dyDescent="0.3">
      <c r="A17" s="49"/>
      <c r="B17" s="390" t="s">
        <v>36</v>
      </c>
      <c r="C17" s="391"/>
      <c r="D17" s="391"/>
      <c r="E17" s="391"/>
      <c r="F17" s="391"/>
      <c r="G17" s="391"/>
      <c r="H17" s="391"/>
      <c r="I17" s="391"/>
      <c r="J17" s="391"/>
      <c r="K17" s="391"/>
      <c r="L17" s="391"/>
      <c r="M17" s="391"/>
      <c r="N17" s="392"/>
      <c r="T17" s="42"/>
    </row>
    <row r="18" spans="1:22" ht="21.75" customHeight="1" x14ac:dyDescent="0.25">
      <c r="A18" s="44" t="s">
        <v>48</v>
      </c>
      <c r="B18" s="113" t="s">
        <v>28</v>
      </c>
      <c r="C18" s="116" t="s">
        <v>29</v>
      </c>
      <c r="D18" s="116" t="s">
        <v>30</v>
      </c>
      <c r="E18" s="116" t="s">
        <v>31</v>
      </c>
      <c r="F18" s="116" t="s">
        <v>32</v>
      </c>
      <c r="G18" s="116" t="s">
        <v>33</v>
      </c>
      <c r="H18" s="116" t="s">
        <v>34</v>
      </c>
      <c r="I18" s="116" t="s">
        <v>49</v>
      </c>
      <c r="J18" s="116" t="s">
        <v>50</v>
      </c>
      <c r="K18" s="116" t="s">
        <v>51</v>
      </c>
      <c r="L18" s="116" t="s">
        <v>52</v>
      </c>
      <c r="M18" s="116" t="s">
        <v>53</v>
      </c>
      <c r="N18" s="117" t="s">
        <v>54</v>
      </c>
      <c r="O18" s="47" t="s">
        <v>148</v>
      </c>
      <c r="P18" s="48" t="s">
        <v>131</v>
      </c>
      <c r="Q18" s="48" t="s">
        <v>130</v>
      </c>
      <c r="R18" s="48" t="s">
        <v>127</v>
      </c>
      <c r="S18" s="48" t="s">
        <v>128</v>
      </c>
      <c r="T18" s="42"/>
    </row>
    <row r="19" spans="1:22" ht="20.25" x14ac:dyDescent="0.25">
      <c r="A19" s="39">
        <f>'2-تحديد الحمولات'!H9</f>
        <v>25413.035818122069</v>
      </c>
      <c r="B19" s="140">
        <v>0</v>
      </c>
      <c r="C19" s="135">
        <v>0</v>
      </c>
      <c r="D19" s="136">
        <f>I7</f>
        <v>2</v>
      </c>
      <c r="E19" s="136">
        <f t="shared" ref="E19:E35" si="0">$I$3</f>
        <v>0.25</v>
      </c>
      <c r="F19" s="136">
        <f>D19-E19</f>
        <v>1.75</v>
      </c>
      <c r="G19" s="137">
        <f>$I$12</f>
        <v>0.4</v>
      </c>
      <c r="H19" s="136">
        <f>$K$1</f>
        <v>0.6</v>
      </c>
      <c r="I19" s="136">
        <f>F19*G19+H19*E19</f>
        <v>0.85000000000000009</v>
      </c>
      <c r="J19" s="138">
        <f>(E19*H19*E19/2+G19*F19*(F19/2+E19))/I19</f>
        <v>0.94852941176470595</v>
      </c>
      <c r="K19" s="138">
        <f>D19-J19</f>
        <v>1.0514705882352939</v>
      </c>
      <c r="L19" s="138">
        <f>(H19*J19^3/3-(H19-G19)*(J19-E19)^3/3+G19*K19^3/3)</f>
        <v>0.30295649509803912</v>
      </c>
      <c r="M19" s="138">
        <f>L19/J19</f>
        <v>0.31939599483204123</v>
      </c>
      <c r="N19" s="139">
        <f>L19/K19</f>
        <v>0.28812645687645683</v>
      </c>
      <c r="O19" s="47">
        <f>'3- مسار الكابل'!C10</f>
        <v>0.15</v>
      </c>
      <c r="P19" s="52">
        <f>'2-تحديد الحمولات'!C9</f>
        <v>2068.9453125000005</v>
      </c>
      <c r="Q19" s="52">
        <f>'2-تحديد الحمولات'!D9</f>
        <v>787.5</v>
      </c>
      <c r="R19" s="52">
        <f>'2-تحديد الحمولات'!E9</f>
        <v>1687.5</v>
      </c>
      <c r="S19" s="52">
        <f>'2-تحديد الحمولات'!F9</f>
        <v>4543.9453125</v>
      </c>
    </row>
    <row r="20" spans="1:22" ht="20.25" x14ac:dyDescent="0.25">
      <c r="A20" s="39">
        <f>'2-تحديد الحمولات'!H10</f>
        <v>26586.355311298128</v>
      </c>
      <c r="B20" s="140">
        <v>1</v>
      </c>
      <c r="C20" s="135">
        <f>C19+'0- المعطيات'!$K$16</f>
        <v>1</v>
      </c>
      <c r="D20" s="136">
        <f>D19-'0- المعطيات'!$K$15/100*'0- المعطيات'!$K$16</f>
        <v>1.95</v>
      </c>
      <c r="E20" s="136">
        <f t="shared" si="0"/>
        <v>0.25</v>
      </c>
      <c r="F20" s="136">
        <f t="shared" ref="F20:F35" si="1">D20-E20</f>
        <v>1.7</v>
      </c>
      <c r="G20" s="137">
        <f>IF(D20&gt;=$D$35,$G$19,IF(C20&gt;=$C$35+'0- المعطيات'!$K$14,'1- تحديد الأبعاد الأولية'!H19,$G$19+2*(C20-$C$35)/'0- المعطيات'!$K$14*($H$19-$G$19)/2))</f>
        <v>0.4</v>
      </c>
      <c r="H20" s="136">
        <f>$H$19</f>
        <v>0.6</v>
      </c>
      <c r="I20" s="136">
        <f t="shared" ref="I20:I35" si="2">F20*G20+H20*E20</f>
        <v>0.83000000000000007</v>
      </c>
      <c r="J20" s="138">
        <f t="shared" ref="J20:J35" si="3">(E20*H20*E20/2+G20*F20*(F20/2+E20))/I20</f>
        <v>0.92379518072289168</v>
      </c>
      <c r="K20" s="138">
        <f t="shared" ref="K20:K35" si="4">D20-J20</f>
        <v>1.0262048192771083</v>
      </c>
      <c r="L20" s="138">
        <f t="shared" ref="L20:L35" si="5">(H20*J20^3/3-(H20-G20)*(J20-E20)^3/3+G20*K20^3/3)</f>
        <v>0.28137171184738957</v>
      </c>
      <c r="M20" s="138">
        <f t="shared" ref="M20:M35" si="6">L20/J20</f>
        <v>0.3045823551787849</v>
      </c>
      <c r="N20" s="139">
        <f t="shared" ref="N20:N35" si="7">L20/K20</f>
        <v>0.27418669895313574</v>
      </c>
      <c r="O20" s="47">
        <f>'3- مسار الكابل'!C11</f>
        <v>0.15211111111111111</v>
      </c>
      <c r="P20" s="52">
        <f>'2-تحديد الحمولات'!C10</f>
        <v>2059.7500000000005</v>
      </c>
      <c r="Q20" s="52">
        <f>'2-تحديد الحمولات'!D10</f>
        <v>784</v>
      </c>
      <c r="R20" s="52">
        <f>'2-تحديد الحمولات'!E10</f>
        <v>1680</v>
      </c>
      <c r="S20" s="52">
        <f>'2-تحديد الحمولات'!F10</f>
        <v>4523.75</v>
      </c>
      <c r="T20" s="42"/>
      <c r="U20" s="42"/>
      <c r="V20" s="42"/>
    </row>
    <row r="21" spans="1:22" ht="20.25" x14ac:dyDescent="0.25">
      <c r="A21" s="39">
        <f>'2-تحديد الحمولات'!H11</f>
        <v>27599.633914712169</v>
      </c>
      <c r="B21" s="140">
        <v>2</v>
      </c>
      <c r="C21" s="135">
        <f>C20+'0- المعطيات'!$K$16</f>
        <v>2</v>
      </c>
      <c r="D21" s="136">
        <f>D20-'0- المعطيات'!$K$15/100*'0- المعطيات'!$K$16</f>
        <v>1.9</v>
      </c>
      <c r="E21" s="136">
        <f t="shared" si="0"/>
        <v>0.25</v>
      </c>
      <c r="F21" s="136">
        <f t="shared" si="1"/>
        <v>1.65</v>
      </c>
      <c r="G21" s="137">
        <f>IF(D21&gt;=$D$35,$G$19,IF(C21&gt;=$C$35+'0- المعطيات'!$K$14,'1- تحديد الأبعاد الأولية'!H20,$G$19+2*(C21-$C$35)/'0- المعطيات'!$K$14*($H$19-$G$19)/2))</f>
        <v>0.4</v>
      </c>
      <c r="H21" s="136">
        <f t="shared" ref="H21:H35" si="8">$H$19</f>
        <v>0.6</v>
      </c>
      <c r="I21" s="136">
        <f t="shared" si="2"/>
        <v>0.81</v>
      </c>
      <c r="J21" s="138">
        <f t="shared" si="3"/>
        <v>0.89907407407407414</v>
      </c>
      <c r="K21" s="138">
        <f t="shared" si="4"/>
        <v>1.0009259259259258</v>
      </c>
      <c r="L21" s="138">
        <f t="shared" si="5"/>
        <v>0.26082430555555552</v>
      </c>
      <c r="M21" s="138">
        <f t="shared" si="6"/>
        <v>0.29010324407826976</v>
      </c>
      <c r="N21" s="139">
        <f t="shared" si="7"/>
        <v>0.2605830249768733</v>
      </c>
      <c r="O21" s="47">
        <f>'3- مسار الكابل'!C12</f>
        <v>0.15844444444444444</v>
      </c>
      <c r="P21" s="52">
        <f>'2-تحديد الحمولات'!C11</f>
        <v>2032.1640625000005</v>
      </c>
      <c r="Q21" s="52">
        <f>'2-تحديد الحمولات'!D11</f>
        <v>773.5</v>
      </c>
      <c r="R21" s="52">
        <f>'2-تحديد الحمولات'!E11</f>
        <v>1657.5</v>
      </c>
      <c r="S21" s="52">
        <f>'2-تحديد الحمولات'!F11</f>
        <v>4463.1640625</v>
      </c>
      <c r="T21" s="42"/>
      <c r="U21" s="42"/>
      <c r="V21" s="42"/>
    </row>
    <row r="22" spans="1:22" ht="20.25" x14ac:dyDescent="0.25">
      <c r="A22" s="39">
        <f>'2-تحديد الحمولات'!H12</f>
        <v>28422.309121654307</v>
      </c>
      <c r="B22" s="140">
        <v>3</v>
      </c>
      <c r="C22" s="135">
        <f>C21+'0- المعطيات'!$K$16</f>
        <v>3</v>
      </c>
      <c r="D22" s="136">
        <f>D21-'0- المعطيات'!$K$15/100*'0- المعطيات'!$K$16</f>
        <v>1.8499999999999999</v>
      </c>
      <c r="E22" s="136">
        <f t="shared" si="0"/>
        <v>0.25</v>
      </c>
      <c r="F22" s="136">
        <f t="shared" si="1"/>
        <v>1.5999999999999999</v>
      </c>
      <c r="G22" s="137">
        <f>IF(D22&gt;=$D$35,$G$19,IF(C22&gt;=$C$35+'0- المعطيات'!$K$14,'1- تحديد الأبعاد الأولية'!H21,$G$19+2*(C22-$C$35)/'0- المعطيات'!$K$14*($H$19-$G$19)/2))</f>
        <v>0.4</v>
      </c>
      <c r="H22" s="136">
        <f t="shared" si="8"/>
        <v>0.6</v>
      </c>
      <c r="I22" s="136">
        <f t="shared" si="2"/>
        <v>0.79</v>
      </c>
      <c r="J22" s="138">
        <f t="shared" si="3"/>
        <v>0.87436708860759482</v>
      </c>
      <c r="K22" s="138">
        <f t="shared" si="4"/>
        <v>0.97563291139240504</v>
      </c>
      <c r="L22" s="138">
        <f t="shared" si="5"/>
        <v>0.24128926687763708</v>
      </c>
      <c r="M22" s="138">
        <f t="shared" si="6"/>
        <v>0.2759587706599107</v>
      </c>
      <c r="N22" s="139">
        <f t="shared" si="7"/>
        <v>0.24731562871661797</v>
      </c>
      <c r="O22" s="47">
        <f>'3- مسار الكابل'!C13</f>
        <v>0.16899999999999998</v>
      </c>
      <c r="P22" s="52">
        <f>'2-تحديد الحمولات'!C12</f>
        <v>1986.1875000000005</v>
      </c>
      <c r="Q22" s="52">
        <f>'2-تحديد الحمولات'!D12</f>
        <v>756</v>
      </c>
      <c r="R22" s="52">
        <f>'2-تحديد الحمولات'!E12</f>
        <v>1620</v>
      </c>
      <c r="S22" s="52">
        <f>'2-تحديد الحمولات'!F12</f>
        <v>4362.1875</v>
      </c>
      <c r="T22" s="42"/>
      <c r="U22" s="42"/>
      <c r="V22" s="42"/>
    </row>
    <row r="23" spans="1:22" ht="20.25" x14ac:dyDescent="0.25">
      <c r="A23" s="39">
        <f>'2-تحديد الحمولات'!H13</f>
        <v>29018.446213110819</v>
      </c>
      <c r="B23" s="140">
        <v>4</v>
      </c>
      <c r="C23" s="135">
        <f>C22+'0- المعطيات'!$K$16</f>
        <v>4</v>
      </c>
      <c r="D23" s="136">
        <f>D22-'0- المعطيات'!$K$15/100*'0- المعطيات'!$K$16</f>
        <v>1.7999999999999998</v>
      </c>
      <c r="E23" s="136">
        <f t="shared" si="0"/>
        <v>0.25</v>
      </c>
      <c r="F23" s="136">
        <f t="shared" si="1"/>
        <v>1.5499999999999998</v>
      </c>
      <c r="G23" s="137">
        <f>IF(D23&gt;=$D$35,$G$19,IF(C23&gt;=$C$35+'0- المعطيات'!$K$14,'1- تحديد الأبعاد الأولية'!H22,$G$19+2*(C23-$C$35)/'0- المعطيات'!$K$14*($H$19-$G$19)/2))</f>
        <v>0.4</v>
      </c>
      <c r="H23" s="136">
        <f t="shared" si="8"/>
        <v>0.6</v>
      </c>
      <c r="I23" s="136">
        <f t="shared" si="2"/>
        <v>0.77</v>
      </c>
      <c r="J23" s="138">
        <f t="shared" si="3"/>
        <v>0.84967532467532469</v>
      </c>
      <c r="K23" s="138">
        <f t="shared" si="4"/>
        <v>0.95032467532467513</v>
      </c>
      <c r="L23" s="138">
        <f t="shared" si="5"/>
        <v>0.22274158549783546</v>
      </c>
      <c r="M23" s="138">
        <f t="shared" si="6"/>
        <v>0.2621490574449114</v>
      </c>
      <c r="N23" s="139">
        <f t="shared" si="7"/>
        <v>0.23438472269673158</v>
      </c>
      <c r="O23" s="47">
        <f>'3- مسار الكابل'!C14</f>
        <v>0.18377777777777776</v>
      </c>
      <c r="P23" s="52">
        <f>'2-تحديد الحمولات'!C13</f>
        <v>1921.8203125000002</v>
      </c>
      <c r="Q23" s="52">
        <f>'2-تحديد الحمولات'!D13</f>
        <v>731.5</v>
      </c>
      <c r="R23" s="52">
        <f>'2-تحديد الحمولات'!E13</f>
        <v>1567.5</v>
      </c>
      <c r="S23" s="52">
        <f>'2-تحديد الحمولات'!F13</f>
        <v>4220.8203125</v>
      </c>
      <c r="T23" s="42"/>
      <c r="U23" s="42"/>
      <c r="V23" s="42"/>
    </row>
    <row r="24" spans="1:22" ht="20.25" x14ac:dyDescent="0.25">
      <c r="A24" s="39">
        <f>'2-تحديد الحمولات'!H14</f>
        <v>29345.677837014482</v>
      </c>
      <c r="B24" s="140">
        <v>5</v>
      </c>
      <c r="C24" s="135">
        <f>C23+'0- المعطيات'!$K$16</f>
        <v>5</v>
      </c>
      <c r="D24" s="136">
        <f>D23-'0- المعطيات'!$K$15/100*'0- المعطيات'!$K$16</f>
        <v>1.7499999999999998</v>
      </c>
      <c r="E24" s="136">
        <f t="shared" si="0"/>
        <v>0.25</v>
      </c>
      <c r="F24" s="136">
        <f t="shared" si="1"/>
        <v>1.4999999999999998</v>
      </c>
      <c r="G24" s="137">
        <f>IF(D24&gt;=$D$35,$G$19,IF(C24&gt;=$C$35+'0- المعطيات'!$K$14,'1- تحديد الأبعاد الأولية'!H23,$G$19+2*(C24-$C$35)/'0- المعطيات'!$K$14*($H$19-$G$19)/2))</f>
        <v>0.4</v>
      </c>
      <c r="H24" s="136">
        <f t="shared" si="8"/>
        <v>0.6</v>
      </c>
      <c r="I24" s="136">
        <f t="shared" si="2"/>
        <v>0.75</v>
      </c>
      <c r="J24" s="138">
        <f t="shared" si="3"/>
        <v>0.82499999999999984</v>
      </c>
      <c r="K24" s="138">
        <f t="shared" si="4"/>
        <v>0.92499999999999993</v>
      </c>
      <c r="L24" s="138">
        <f t="shared" si="5"/>
        <v>0.20515624999999993</v>
      </c>
      <c r="M24" s="138">
        <f t="shared" si="6"/>
        <v>0.24867424242424238</v>
      </c>
      <c r="N24" s="139">
        <f t="shared" si="7"/>
        <v>0.22179054054054048</v>
      </c>
      <c r="O24" s="47">
        <f>'3- مسار الكابل'!C15</f>
        <v>0.20277777777777772</v>
      </c>
      <c r="P24" s="52">
        <f>'2-تحديد الحمولات'!C14</f>
        <v>1839.0625000000005</v>
      </c>
      <c r="Q24" s="52">
        <f>'2-تحديد الحمولات'!D14</f>
        <v>700</v>
      </c>
      <c r="R24" s="52">
        <f>'2-تحديد الحمولات'!E14</f>
        <v>1500</v>
      </c>
      <c r="S24" s="52">
        <f>'2-تحديد الحمولات'!F14</f>
        <v>4039.0625000000005</v>
      </c>
      <c r="T24" s="42"/>
      <c r="U24" s="42"/>
      <c r="V24" s="42"/>
    </row>
    <row r="25" spans="1:22" ht="20.25" x14ac:dyDescent="0.25">
      <c r="A25" s="39">
        <f>'2-تحديد الحمولات'!H15</f>
        <v>29353.901881249985</v>
      </c>
      <c r="B25" s="140">
        <v>6</v>
      </c>
      <c r="C25" s="135">
        <f>C24+'0- المعطيات'!$K$16</f>
        <v>6</v>
      </c>
      <c r="D25" s="136">
        <f>D24-'0- المعطيات'!$K$15/100*'0- المعطيات'!$K$16</f>
        <v>1.6999999999999997</v>
      </c>
      <c r="E25" s="136">
        <f t="shared" si="0"/>
        <v>0.25</v>
      </c>
      <c r="F25" s="136">
        <f t="shared" si="1"/>
        <v>1.4499999999999997</v>
      </c>
      <c r="G25" s="137">
        <f>IF(D25&gt;=$D$35,$G$19,IF(C25&gt;=$C$35+'0- المعطيات'!$K$14,'1- تحديد الأبعاد الأولية'!H24,$G$19+2*(C25-$C$35)/'0- المعطيات'!$K$14*($H$19-$G$19)/2))</f>
        <v>0.4</v>
      </c>
      <c r="H25" s="136">
        <f t="shared" si="8"/>
        <v>0.6</v>
      </c>
      <c r="I25" s="136">
        <f t="shared" si="2"/>
        <v>0.73</v>
      </c>
      <c r="J25" s="138">
        <f t="shared" si="3"/>
        <v>0.8003424657534246</v>
      </c>
      <c r="K25" s="138">
        <f t="shared" si="4"/>
        <v>0.89965753424657513</v>
      </c>
      <c r="L25" s="138">
        <f t="shared" si="5"/>
        <v>0.18850824771689489</v>
      </c>
      <c r="M25" s="138">
        <f t="shared" si="6"/>
        <v>0.23553448152902573</v>
      </c>
      <c r="N25" s="139">
        <f t="shared" si="7"/>
        <v>0.20953333967770582</v>
      </c>
      <c r="O25" s="47">
        <f>'3- مسار الكابل'!C16</f>
        <v>0.22599999999999992</v>
      </c>
      <c r="P25" s="52">
        <f>'2-تحديد الحمولات'!C15</f>
        <v>1737.9140625000005</v>
      </c>
      <c r="Q25" s="52">
        <f>'2-تحديد الحمولات'!D15</f>
        <v>661.5</v>
      </c>
      <c r="R25" s="52">
        <f>'2-تحديد الحمولات'!E15</f>
        <v>1417.5</v>
      </c>
      <c r="S25" s="52">
        <f>'2-تحديد الحمولات'!F15</f>
        <v>3816.9140625000005</v>
      </c>
      <c r="T25" s="42"/>
      <c r="U25" s="42"/>
      <c r="V25" s="42"/>
    </row>
    <row r="26" spans="1:22" ht="20.25" x14ac:dyDescent="0.25">
      <c r="A26" s="39">
        <f>'2-تحديد الحمولات'!H16</f>
        <v>28983.674032440758</v>
      </c>
      <c r="B26" s="140">
        <v>7</v>
      </c>
      <c r="C26" s="135">
        <f>C25+'0- المعطيات'!$K$16</f>
        <v>7</v>
      </c>
      <c r="D26" s="136">
        <f>D25-'0- المعطيات'!$K$15/100*'0- المعطيات'!$K$16</f>
        <v>1.6499999999999997</v>
      </c>
      <c r="E26" s="136">
        <f t="shared" si="0"/>
        <v>0.25</v>
      </c>
      <c r="F26" s="136">
        <f t="shared" si="1"/>
        <v>1.3999999999999997</v>
      </c>
      <c r="G26" s="137">
        <f>IF(D26&gt;=$D$35,$G$19,IF(C26&gt;=$C$35+'0- المعطيات'!$K$14,'1- تحديد الأبعاد الأولية'!H25,$G$19+2*(C26-$C$35)/'0- المعطيات'!$K$14*($H$19-$G$19)/2))</f>
        <v>0.4</v>
      </c>
      <c r="H26" s="136">
        <f t="shared" si="8"/>
        <v>0.6</v>
      </c>
      <c r="I26" s="136">
        <f t="shared" si="2"/>
        <v>0.71</v>
      </c>
      <c r="J26" s="138">
        <f t="shared" si="3"/>
        <v>0.77570422535211248</v>
      </c>
      <c r="K26" s="138">
        <f t="shared" si="4"/>
        <v>0.87429577464788721</v>
      </c>
      <c r="L26" s="138">
        <f t="shared" si="5"/>
        <v>0.17277256455399054</v>
      </c>
      <c r="M26" s="138">
        <f t="shared" si="6"/>
        <v>0.22272995158117714</v>
      </c>
      <c r="N26" s="139">
        <f t="shared" si="7"/>
        <v>0.19761340448382328</v>
      </c>
      <c r="O26" s="47">
        <f>'3- مسار الكابل'!C17</f>
        <v>0.25344444444444436</v>
      </c>
      <c r="P26" s="52">
        <f>'2-تحديد الحمولات'!C16</f>
        <v>1618.3750000000005</v>
      </c>
      <c r="Q26" s="52">
        <f>'2-تحديد الحمولات'!D16</f>
        <v>616</v>
      </c>
      <c r="R26" s="52">
        <f>'2-تحديد الحمولات'!E16</f>
        <v>1320</v>
      </c>
      <c r="S26" s="52">
        <f>'2-تحديد الحمولات'!F16</f>
        <v>3554.3750000000005</v>
      </c>
      <c r="T26" s="42"/>
      <c r="U26" s="42"/>
      <c r="V26" s="42"/>
    </row>
    <row r="27" spans="1:22" ht="20.25" x14ac:dyDescent="0.25">
      <c r="A27" s="39">
        <f>'2-تحديد الحمولات'!H17</f>
        <v>28164.212213784143</v>
      </c>
      <c r="B27" s="140">
        <v>8</v>
      </c>
      <c r="C27" s="135">
        <f>C26+'0- المعطيات'!$K$16</f>
        <v>8</v>
      </c>
      <c r="D27" s="136">
        <f>D26-'0- المعطيات'!$K$15/100*'0- المعطيات'!$K$16</f>
        <v>1.5999999999999996</v>
      </c>
      <c r="E27" s="136">
        <f t="shared" si="0"/>
        <v>0.25</v>
      </c>
      <c r="F27" s="136">
        <f t="shared" si="1"/>
        <v>1.3499999999999996</v>
      </c>
      <c r="G27" s="137">
        <f>IF(D27&gt;=$D$35,$G$19,IF(C27&gt;=$C$35+'0- المعطيات'!$K$14,'1- تحديد الأبعاد الأولية'!H26,$G$19+2*(C27-$C$35)/'0- المعطيات'!$K$14*($H$19-$G$19)/2))</f>
        <v>0.4</v>
      </c>
      <c r="H27" s="136">
        <f t="shared" si="8"/>
        <v>0.6</v>
      </c>
      <c r="I27" s="136">
        <f t="shared" si="2"/>
        <v>0.69</v>
      </c>
      <c r="J27" s="138">
        <f t="shared" si="3"/>
        <v>0.75108695652173896</v>
      </c>
      <c r="K27" s="138">
        <f t="shared" si="4"/>
        <v>0.84891304347826069</v>
      </c>
      <c r="L27" s="138">
        <f t="shared" si="5"/>
        <v>0.15792418478260861</v>
      </c>
      <c r="M27" s="138">
        <f t="shared" si="6"/>
        <v>0.21026085383502163</v>
      </c>
      <c r="N27" s="139">
        <f t="shared" si="7"/>
        <v>0.18603104993597946</v>
      </c>
      <c r="O27" s="47">
        <f>'3- مسار الكابل'!C18</f>
        <v>0.28511111111111098</v>
      </c>
      <c r="P27" s="52">
        <f>'2-تحديد الحمولات'!C17</f>
        <v>1480.4453125000005</v>
      </c>
      <c r="Q27" s="52">
        <f>'2-تحديد الحمولات'!D17</f>
        <v>563.5</v>
      </c>
      <c r="R27" s="52">
        <f>'2-تحديد الحمولات'!E17</f>
        <v>1207.5</v>
      </c>
      <c r="S27" s="52">
        <f>'2-تحديد الحمولات'!F17</f>
        <v>3251.4453125000005</v>
      </c>
      <c r="T27" s="42"/>
      <c r="U27" s="42"/>
      <c r="V27" s="42"/>
    </row>
    <row r="28" spans="1:22" ht="20.25" x14ac:dyDescent="0.25">
      <c r="A28" s="39">
        <f>'2-تحديد الحمولات'!H18</f>
        <v>26810.904302374005</v>
      </c>
      <c r="B28" s="140">
        <v>9</v>
      </c>
      <c r="C28" s="135">
        <f>C27+'0- المعطيات'!$K$16</f>
        <v>9</v>
      </c>
      <c r="D28" s="136">
        <f>D27-'0- المعطيات'!$K$15/100*'0- المعطيات'!$K$16</f>
        <v>1.5499999999999996</v>
      </c>
      <c r="E28" s="136">
        <f t="shared" si="0"/>
        <v>0.25</v>
      </c>
      <c r="F28" s="136">
        <f t="shared" si="1"/>
        <v>1.2999999999999996</v>
      </c>
      <c r="G28" s="137">
        <f>IF(D28&gt;=$D$35,$G$19,IF(C28&gt;=$C$35+'0- المعطيات'!$K$14,'1- تحديد الأبعاد الأولية'!H27,$G$19+2*(C28-$C$35)/'0- المعطيات'!$K$14*($H$19-$G$19)/2))</f>
        <v>0.4</v>
      </c>
      <c r="H28" s="136">
        <f t="shared" si="8"/>
        <v>0.6</v>
      </c>
      <c r="I28" s="136">
        <f t="shared" si="2"/>
        <v>0.66999999999999993</v>
      </c>
      <c r="J28" s="138">
        <f t="shared" si="3"/>
        <v>0.72649253731343255</v>
      </c>
      <c r="K28" s="138">
        <f t="shared" si="4"/>
        <v>0.82350746268656705</v>
      </c>
      <c r="L28" s="138">
        <f t="shared" si="5"/>
        <v>0.1439380907960198</v>
      </c>
      <c r="M28" s="138">
        <f t="shared" si="6"/>
        <v>0.19812741825029953</v>
      </c>
      <c r="N28" s="139">
        <f t="shared" si="7"/>
        <v>0.1747866258873281</v>
      </c>
      <c r="O28" s="47">
        <f>'3- مسار الكابل'!C19</f>
        <v>0.32099999999999984</v>
      </c>
      <c r="P28" s="52">
        <f>'2-تحديد الحمولات'!C18</f>
        <v>1324.1250000000005</v>
      </c>
      <c r="Q28" s="52">
        <f>'2-تحديد الحمولات'!D18</f>
        <v>504</v>
      </c>
      <c r="R28" s="52">
        <f>'2-تحديد الحمولات'!E18</f>
        <v>1080</v>
      </c>
      <c r="S28" s="52">
        <f>'2-تحديد الحمولات'!F18</f>
        <v>2908.1250000000005</v>
      </c>
      <c r="T28" s="42"/>
      <c r="U28" s="42"/>
      <c r="V28" s="42"/>
    </row>
    <row r="29" spans="1:22" ht="16.5" customHeight="1" x14ac:dyDescent="0.25">
      <c r="A29" s="39">
        <f>'2-تحديد الحمولات'!H19</f>
        <v>24822.175582018706</v>
      </c>
      <c r="B29" s="140">
        <v>10</v>
      </c>
      <c r="C29" s="135">
        <f>C28+'0- المعطيات'!$K$16</f>
        <v>10</v>
      </c>
      <c r="D29" s="136">
        <f>D28-'0- المعطيات'!$K$15/100*'0- المعطيات'!$K$16</f>
        <v>1.4999999999999996</v>
      </c>
      <c r="E29" s="136">
        <f t="shared" si="0"/>
        <v>0.25</v>
      </c>
      <c r="F29" s="136">
        <f t="shared" si="1"/>
        <v>1.2499999999999996</v>
      </c>
      <c r="G29" s="137">
        <f>IF(D29&gt;=$D$35,$G$19,IF(C29&gt;=$C$35+'0- المعطيات'!$K$14,'1- تحديد الأبعاد الأولية'!H28,$G$19+2*(C29-$C$35)/'0- المعطيات'!$K$14*($H$19-$G$19)/2))</f>
        <v>0.4</v>
      </c>
      <c r="H29" s="136">
        <f t="shared" si="8"/>
        <v>0.6</v>
      </c>
      <c r="I29" s="136">
        <f t="shared" si="2"/>
        <v>0.6499999999999998</v>
      </c>
      <c r="J29" s="138">
        <f t="shared" si="3"/>
        <v>0.70192307692307665</v>
      </c>
      <c r="K29" s="138">
        <f t="shared" si="4"/>
        <v>0.79807692307692291</v>
      </c>
      <c r="L29" s="138">
        <f t="shared" si="5"/>
        <v>0.1307892628205127</v>
      </c>
      <c r="M29" s="138">
        <f t="shared" si="6"/>
        <v>0.18632990867579899</v>
      </c>
      <c r="N29" s="139">
        <f t="shared" si="7"/>
        <v>0.1638805220883533</v>
      </c>
      <c r="O29" s="47">
        <f>'3- مسار الكابل'!C20</f>
        <v>0.36111111111111094</v>
      </c>
      <c r="P29" s="52">
        <f>'2-تحديد الحمولات'!C19</f>
        <v>1149.4140625000002</v>
      </c>
      <c r="Q29" s="52">
        <f>'2-تحديد الحمولات'!D19</f>
        <v>437.5</v>
      </c>
      <c r="R29" s="52">
        <f>'2-تحديد الحمولات'!E19</f>
        <v>937.5</v>
      </c>
      <c r="S29" s="52">
        <f>'2-تحديد الحمولات'!F19</f>
        <v>2524.4140625</v>
      </c>
      <c r="T29" s="42"/>
      <c r="U29" s="42"/>
      <c r="V29" s="42"/>
    </row>
    <row r="30" spans="1:22" ht="20.25" x14ac:dyDescent="0.25">
      <c r="A30" s="39">
        <f>'2-تحديد الحمولات'!H20</f>
        <v>22075.524621797449</v>
      </c>
      <c r="B30" s="140">
        <v>11</v>
      </c>
      <c r="C30" s="135">
        <f>C29+'0- المعطيات'!$K$16</f>
        <v>11</v>
      </c>
      <c r="D30" s="136">
        <f>D29-'0- المعطيات'!$K$15/100*'0- المعطيات'!$K$16</f>
        <v>1.4499999999999995</v>
      </c>
      <c r="E30" s="136">
        <f t="shared" si="0"/>
        <v>0.25</v>
      </c>
      <c r="F30" s="136">
        <f t="shared" si="1"/>
        <v>1.1999999999999995</v>
      </c>
      <c r="G30" s="137">
        <f>IF(D30&gt;=$D$35,$G$19,IF(C30&gt;=$C$35+'0- المعطيات'!$K$14,'1- تحديد الأبعاد الأولية'!H29,$G$19+2*(C30-$C$35)/'0- المعطيات'!$K$14*($H$19-$G$19)/2))</f>
        <v>0.4</v>
      </c>
      <c r="H30" s="136">
        <f t="shared" si="8"/>
        <v>0.6</v>
      </c>
      <c r="I30" s="136">
        <f t="shared" si="2"/>
        <v>0.62999999999999978</v>
      </c>
      <c r="J30" s="138">
        <f t="shared" si="3"/>
        <v>0.67738095238095219</v>
      </c>
      <c r="K30" s="138">
        <f t="shared" si="4"/>
        <v>0.77261904761904732</v>
      </c>
      <c r="L30" s="138">
        <f t="shared" si="5"/>
        <v>0.11845267857142847</v>
      </c>
      <c r="M30" s="138">
        <f t="shared" si="6"/>
        <v>0.17486862917398935</v>
      </c>
      <c r="N30" s="139">
        <f t="shared" si="7"/>
        <v>0.15331317411402148</v>
      </c>
      <c r="O30" s="47">
        <f>'3- مسار الكابل'!C21</f>
        <v>0.40544444444444427</v>
      </c>
      <c r="P30" s="52">
        <f>'2-تحديد الحمولات'!C20</f>
        <v>956.31250000000023</v>
      </c>
      <c r="Q30" s="52">
        <f>'2-تحديد الحمولات'!D20</f>
        <v>364</v>
      </c>
      <c r="R30" s="52">
        <f>'2-تحديد الحمولات'!E20</f>
        <v>780</v>
      </c>
      <c r="S30" s="52">
        <f>'2-تحديد الحمولات'!F20</f>
        <v>2100.3125</v>
      </c>
      <c r="T30" s="42"/>
      <c r="U30" s="42"/>
      <c r="V30" s="42"/>
    </row>
    <row r="31" spans="1:22" ht="20.25" x14ac:dyDescent="0.25">
      <c r="A31" s="39">
        <f>'2-تحديد الحمولات'!H21</f>
        <v>17024.975149183181</v>
      </c>
      <c r="B31" s="140">
        <v>12</v>
      </c>
      <c r="C31" s="135">
        <f>C30+'0- المعطيات'!$K$16</f>
        <v>12</v>
      </c>
      <c r="D31" s="136">
        <f>D30-'0- المعطيات'!$K$15/100*'0- المعطيات'!$K$16</f>
        <v>1.3999999999999995</v>
      </c>
      <c r="E31" s="136">
        <f t="shared" si="0"/>
        <v>0.25</v>
      </c>
      <c r="F31" s="136">
        <f t="shared" si="1"/>
        <v>1.1499999999999995</v>
      </c>
      <c r="G31" s="137">
        <f>IF(D31&gt;=$D$35,$G$19,IF(C31&gt;=$C$35+'0- المعطيات'!$K$14,'1- تحديد الأبعاد الأولية'!H30,$G$19+2*(C31-$C$35)/'0- المعطيات'!$K$14*($H$19-$G$19)/2))</f>
        <v>0.44285714285714295</v>
      </c>
      <c r="H31" s="136">
        <f t="shared" si="8"/>
        <v>0.6</v>
      </c>
      <c r="I31" s="136">
        <f t="shared" si="2"/>
        <v>0.65928571428571414</v>
      </c>
      <c r="J31" s="138">
        <f>(E31*H31*E31/2+G31*F31*(F31/2+E31))/I31</f>
        <v>0.66573672806067141</v>
      </c>
      <c r="K31" s="138">
        <f t="shared" si="4"/>
        <v>0.73426327193932805</v>
      </c>
      <c r="L31" s="138">
        <f t="shared" si="5"/>
        <v>0.11368613620827518</v>
      </c>
      <c r="M31" s="138">
        <f t="shared" si="6"/>
        <v>0.17076740912199526</v>
      </c>
      <c r="N31" s="139">
        <f t="shared" si="7"/>
        <v>0.15483020948059761</v>
      </c>
      <c r="O31" s="47">
        <f>'3- مسار الكابل'!C22</f>
        <v>0.45399999999999974</v>
      </c>
      <c r="P31" s="52">
        <f>'2-تحديد الحمولات'!C21</f>
        <v>744.82031250000023</v>
      </c>
      <c r="Q31" s="52">
        <f>'2-تحديد الحمولات'!D21</f>
        <v>283.5</v>
      </c>
      <c r="R31" s="52">
        <f>'2-تحديد الحمولات'!E21</f>
        <v>607.5</v>
      </c>
      <c r="S31" s="52">
        <f>'2-تحديد الحمولات'!F21</f>
        <v>1635.8203125000002</v>
      </c>
      <c r="T31" s="42"/>
      <c r="U31" s="42"/>
      <c r="V31" s="42"/>
    </row>
    <row r="32" spans="1:22" ht="20.25" x14ac:dyDescent="0.25">
      <c r="A32" s="39">
        <f>'2-تحديد الحمولات'!H22</f>
        <v>11266.856818666698</v>
      </c>
      <c r="B32" s="140">
        <v>13</v>
      </c>
      <c r="C32" s="135">
        <f>C31+'0- المعطيات'!$K$16</f>
        <v>13</v>
      </c>
      <c r="D32" s="136">
        <f>D31-'0- المعطيات'!$K$15/100*'0- المعطيات'!$K$16</f>
        <v>1.3499999999999994</v>
      </c>
      <c r="E32" s="136">
        <f t="shared" si="0"/>
        <v>0.25</v>
      </c>
      <c r="F32" s="136">
        <f t="shared" si="1"/>
        <v>1.0999999999999994</v>
      </c>
      <c r="G32" s="137">
        <f>IF(D32&gt;=$D$35,$G$19,IF(C32&gt;=$C$35+'0- المعطيات'!$K$14,'1- تحديد الأبعاد الأولية'!H31,$G$19+2*(C32-$C$35)/'0- المعطيات'!$K$14*($H$19-$G$19)/2))</f>
        <v>0.51428571428571435</v>
      </c>
      <c r="H32" s="136">
        <f t="shared" si="8"/>
        <v>0.6</v>
      </c>
      <c r="I32" s="136">
        <f t="shared" si="2"/>
        <v>0.71571428571428553</v>
      </c>
      <c r="J32" s="138">
        <f t="shared" si="3"/>
        <v>0.65853293413173619</v>
      </c>
      <c r="K32" s="138">
        <f t="shared" si="4"/>
        <v>0.69146706586826323</v>
      </c>
      <c r="L32" s="138">
        <f t="shared" si="5"/>
        <v>0.11184431672369535</v>
      </c>
      <c r="M32" s="138">
        <f t="shared" si="6"/>
        <v>0.16983860780047405</v>
      </c>
      <c r="N32" s="139">
        <f t="shared" si="7"/>
        <v>0.16174930411653718</v>
      </c>
      <c r="O32" s="47">
        <f>'3- مسار الكابل'!C23</f>
        <v>0.50677777777777755</v>
      </c>
      <c r="P32" s="52">
        <f>'2-تحديد الحمولات'!C22</f>
        <v>514.93750000000011</v>
      </c>
      <c r="Q32" s="52">
        <f>'2-تحديد الحمولات'!D22</f>
        <v>196</v>
      </c>
      <c r="R32" s="52">
        <f>'2-تحديد الحمولات'!E22</f>
        <v>420</v>
      </c>
      <c r="S32" s="52">
        <f>'2-تحديد الحمولات'!F22</f>
        <v>1130.9375</v>
      </c>
      <c r="T32" s="42"/>
      <c r="U32" s="42"/>
      <c r="V32" s="42"/>
    </row>
    <row r="33" spans="1:22" ht="20.25" x14ac:dyDescent="0.25">
      <c r="A33" s="39">
        <f>'2-تحديد الحمولات'!H23</f>
        <v>5689.1022878392405</v>
      </c>
      <c r="B33" s="140">
        <v>14</v>
      </c>
      <c r="C33" s="135">
        <f>C32+'0- المعطيات'!$K$16</f>
        <v>14</v>
      </c>
      <c r="D33" s="136">
        <f>D32-'0- المعطيات'!$K$15/100*'0- المعطيات'!$K$16</f>
        <v>1.2999999999999994</v>
      </c>
      <c r="E33" s="136">
        <f t="shared" si="0"/>
        <v>0.25</v>
      </c>
      <c r="F33" s="136">
        <f t="shared" si="1"/>
        <v>1.0499999999999994</v>
      </c>
      <c r="G33" s="137">
        <f>IF(D33&gt;=$D$35,$G$19,IF(C33&gt;=$C$35+'0- المعطيات'!$K$14,'1- تحديد الأبعاد الأولية'!H32,$G$19+2*(C33-$C$35)/'0- المعطيات'!$K$14*($H$19-$G$19)/2))</f>
        <v>0.58571428571428585</v>
      </c>
      <c r="H33" s="136">
        <f t="shared" si="8"/>
        <v>0.6</v>
      </c>
      <c r="I33" s="136">
        <f t="shared" si="2"/>
        <v>0.76499999999999979</v>
      </c>
      <c r="J33" s="138">
        <f t="shared" si="3"/>
        <v>0.64754901960784284</v>
      </c>
      <c r="K33" s="138">
        <f t="shared" si="4"/>
        <v>0.65245098039215654</v>
      </c>
      <c r="L33" s="138">
        <f t="shared" si="5"/>
        <v>0.10823290441176459</v>
      </c>
      <c r="M33" s="138">
        <f t="shared" si="6"/>
        <v>0.16714241105223304</v>
      </c>
      <c r="N33" s="139">
        <f t="shared" si="7"/>
        <v>0.16588664537941386</v>
      </c>
      <c r="O33" s="47">
        <f>'3- مسار الكابل'!C24</f>
        <v>0.56377777777777749</v>
      </c>
      <c r="P33" s="52">
        <f>'2-تحديد الحمولات'!C23</f>
        <v>266.66406250000006</v>
      </c>
      <c r="Q33" s="52">
        <f>'2-تحديد الحمولات'!D23</f>
        <v>101.5</v>
      </c>
      <c r="R33" s="52">
        <f>'2-تحديد الحمولات'!E23</f>
        <v>217.5</v>
      </c>
      <c r="S33" s="52">
        <f>'2-تحديد الحمولات'!F23</f>
        <v>585.6640625</v>
      </c>
      <c r="T33" s="42"/>
      <c r="U33" s="42"/>
      <c r="V33" s="42"/>
    </row>
    <row r="34" spans="1:22" ht="20.25" x14ac:dyDescent="0.25">
      <c r="A34" s="39">
        <f>'2-تحديد الحمولات'!H24</f>
        <v>0</v>
      </c>
      <c r="B34" s="140">
        <v>15</v>
      </c>
      <c r="C34" s="135">
        <f>C33+'0- المعطيات'!$K$16</f>
        <v>15</v>
      </c>
      <c r="D34" s="136">
        <f>D33-'0- المعطيات'!$K$15/100*'0- المعطيات'!$K$16</f>
        <v>1.2499999999999993</v>
      </c>
      <c r="E34" s="136">
        <f t="shared" si="0"/>
        <v>0.25</v>
      </c>
      <c r="F34" s="136">
        <f t="shared" si="1"/>
        <v>0.99999999999999933</v>
      </c>
      <c r="G34" s="137">
        <f>IF(D34&gt;=$D$35,$G$19,IF(C34&gt;=$C$35+'0- المعطيات'!$K$14,'1- تحديد الأبعاد الأولية'!H33,$G$19+2*(C34-$C$35)/'0- المعطيات'!$K$14*($H$19-$G$19)/2))</f>
        <v>0.6</v>
      </c>
      <c r="H34" s="136">
        <f t="shared" si="8"/>
        <v>0.6</v>
      </c>
      <c r="I34" s="136">
        <f t="shared" si="2"/>
        <v>0.74999999999999956</v>
      </c>
      <c r="J34" s="138">
        <f t="shared" si="3"/>
        <v>0.62499999999999967</v>
      </c>
      <c r="K34" s="138">
        <f t="shared" si="4"/>
        <v>0.62499999999999967</v>
      </c>
      <c r="L34" s="138">
        <f t="shared" si="5"/>
        <v>9.7656249999999833E-2</v>
      </c>
      <c r="M34" s="138">
        <f t="shared" si="6"/>
        <v>0.15624999999999981</v>
      </c>
      <c r="N34" s="139">
        <f t="shared" si="7"/>
        <v>0.15624999999999981</v>
      </c>
      <c r="O34" s="47">
        <f>'3- مسار الكابل'!C25</f>
        <v>0.62499999999999967</v>
      </c>
      <c r="P34" s="52">
        <f>'2-تحديد الحمولات'!C24</f>
        <v>0</v>
      </c>
      <c r="Q34" s="52">
        <f>'2-تحديد الحمولات'!D24</f>
        <v>0</v>
      </c>
      <c r="R34" s="52">
        <f>'2-تحديد الحمولات'!E24</f>
        <v>0</v>
      </c>
      <c r="S34" s="52">
        <f>'2-تحديد الحمولات'!F24</f>
        <v>0</v>
      </c>
      <c r="T34" s="42"/>
      <c r="U34" s="42"/>
      <c r="V34" s="42"/>
    </row>
    <row r="35" spans="1:22" ht="61.5" thickBot="1" x14ac:dyDescent="0.3">
      <c r="A35" s="39">
        <f>'2-تحديد الحمولات'!H25</f>
        <v>20732.397073329368</v>
      </c>
      <c r="B35" s="260" t="s">
        <v>267</v>
      </c>
      <c r="C35" s="261">
        <f>'0- المعطيات'!K13/2-'0- المعطيات'!K14-'0- المعطيات'!K17</f>
        <v>11.399999999999999</v>
      </c>
      <c r="D35" s="262">
        <f>D30-'0- المعطيات'!K15/100*(C35-C30)</f>
        <v>1.4299999999999995</v>
      </c>
      <c r="E35" s="262">
        <f t="shared" si="0"/>
        <v>0.25</v>
      </c>
      <c r="F35" s="262">
        <f t="shared" si="1"/>
        <v>1.1799999999999995</v>
      </c>
      <c r="G35" s="263">
        <f>IF(D35&gt;=$D$35,$G$19,IF(C35&gt;=$C$35+'0- المعطيات'!$K$14,'1- تحديد الأبعاد الأولية'!H34,$G$19+2*(C35-$C$35)/'0- المعطيات'!$K$14*($H$19-$G$19)/2))</f>
        <v>0.4</v>
      </c>
      <c r="H35" s="262">
        <f t="shared" si="8"/>
        <v>0.6</v>
      </c>
      <c r="I35" s="262">
        <f t="shared" si="2"/>
        <v>0.62199999999999978</v>
      </c>
      <c r="J35" s="264">
        <f t="shared" si="3"/>
        <v>0.66757234726688075</v>
      </c>
      <c r="K35" s="264">
        <f t="shared" si="4"/>
        <v>0.76242765273311874</v>
      </c>
      <c r="L35" s="264">
        <f t="shared" si="5"/>
        <v>0.1137398675777062</v>
      </c>
      <c r="M35" s="264">
        <f t="shared" si="6"/>
        <v>0.17037833883229364</v>
      </c>
      <c r="N35" s="265">
        <f t="shared" si="7"/>
        <v>0.14918119400572144</v>
      </c>
    </row>
    <row r="36" spans="1:22" ht="21" thickBot="1" x14ac:dyDescent="0.3">
      <c r="A36" s="39"/>
      <c r="B36" s="393" t="s">
        <v>37</v>
      </c>
      <c r="C36" s="394"/>
      <c r="D36" s="394"/>
      <c r="E36" s="394"/>
      <c r="F36" s="394"/>
      <c r="G36" s="394"/>
      <c r="H36" s="394"/>
      <c r="I36" s="394"/>
      <c r="J36" s="394"/>
      <c r="K36" s="394"/>
      <c r="L36" s="394"/>
      <c r="M36" s="394"/>
      <c r="N36" s="395"/>
    </row>
    <row r="37" spans="1:22" ht="15" customHeight="1" x14ac:dyDescent="0.25"/>
    <row r="39" spans="1:22" ht="15" customHeight="1" x14ac:dyDescent="0.25"/>
    <row r="52" spans="2:3" x14ac:dyDescent="0.25">
      <c r="B52" s="42"/>
      <c r="C52" s="42"/>
    </row>
    <row r="53" spans="2:3" x14ac:dyDescent="0.25">
      <c r="B53" s="42"/>
      <c r="C53" s="42"/>
    </row>
    <row r="54" spans="2:3" x14ac:dyDescent="0.25">
      <c r="B54" s="42"/>
      <c r="C54" s="42"/>
    </row>
    <row r="55" spans="2:3" x14ac:dyDescent="0.25">
      <c r="B55" s="42"/>
      <c r="C55" s="42"/>
    </row>
    <row r="56" spans="2:3" x14ac:dyDescent="0.25">
      <c r="B56" s="42"/>
      <c r="C56" s="42"/>
    </row>
    <row r="57" spans="2:3" x14ac:dyDescent="0.25">
      <c r="B57" s="42"/>
      <c r="C57" s="42"/>
    </row>
    <row r="58" spans="2:3" x14ac:dyDescent="0.25">
      <c r="B58" s="42"/>
      <c r="C58" s="42"/>
    </row>
    <row r="59" spans="2:3" x14ac:dyDescent="0.25">
      <c r="B59" s="42"/>
      <c r="C59" s="42"/>
    </row>
    <row r="60" spans="2:3" x14ac:dyDescent="0.25">
      <c r="B60" s="42"/>
      <c r="C60" s="42"/>
    </row>
    <row r="61" spans="2:3" x14ac:dyDescent="0.25">
      <c r="B61" s="42"/>
      <c r="C61" s="42"/>
    </row>
    <row r="62" spans="2:3" x14ac:dyDescent="0.25">
      <c r="B62" s="42"/>
      <c r="C62" s="42"/>
    </row>
    <row r="63" spans="2:3" x14ac:dyDescent="0.25">
      <c r="B63" s="42"/>
      <c r="C63" s="42"/>
    </row>
    <row r="64" spans="2:3" x14ac:dyDescent="0.25">
      <c r="B64" s="42"/>
      <c r="C64" s="42"/>
    </row>
    <row r="65" spans="2:3" x14ac:dyDescent="0.25">
      <c r="B65" s="42"/>
      <c r="C65" s="42"/>
    </row>
    <row r="66" spans="2:3" x14ac:dyDescent="0.25">
      <c r="B66" s="42"/>
      <c r="C66" s="42"/>
    </row>
    <row r="67" spans="2:3" x14ac:dyDescent="0.25">
      <c r="B67" s="42"/>
      <c r="C67" s="42"/>
    </row>
    <row r="68" spans="2:3" x14ac:dyDescent="0.25">
      <c r="B68" s="42"/>
      <c r="C68" s="42"/>
    </row>
    <row r="69" spans="2:3" x14ac:dyDescent="0.25">
      <c r="B69" s="42"/>
      <c r="C69" s="42"/>
    </row>
    <row r="70" spans="2:3" x14ac:dyDescent="0.25">
      <c r="B70" s="42"/>
      <c r="C70" s="42"/>
    </row>
    <row r="71" spans="2:3" x14ac:dyDescent="0.25">
      <c r="B71" s="42"/>
      <c r="C71" s="42"/>
    </row>
  </sheetData>
  <mergeCells count="3">
    <mergeCell ref="B17:N17"/>
    <mergeCell ref="B36:N36"/>
    <mergeCell ref="B1:C1"/>
  </mergeCells>
  <conditionalFormatting sqref="E19:E35">
    <cfRule type="cellIs" dxfId="2" priority="7" operator="lessThan">
      <formula>0.15</formula>
    </cfRule>
  </conditionalFormatting>
  <conditionalFormatting sqref="H19:H35">
    <cfRule type="cellIs" dxfId="1" priority="5" operator="lessThan">
      <formula>0.5</formula>
    </cfRule>
  </conditionalFormatting>
  <conditionalFormatting sqref="G19:G35">
    <cfRule type="cellIs" dxfId="0" priority="1" operator="lessThan">
      <formula>0.15</formula>
    </cfRule>
  </conditionalFormatting>
  <printOptions horizontalCentered="1" verticalCentered="1"/>
  <pageMargins left="0.7" right="0.7" top="0.75" bottom="0.75" header="0.3" footer="0.3"/>
  <pageSetup scale="54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ورقة3">
    <tabColor rgb="FF7030A0"/>
    <pageSetUpPr fitToPage="1"/>
  </sheetPr>
  <dimension ref="A1:AU45"/>
  <sheetViews>
    <sheetView showGridLines="0" topLeftCell="A31" zoomScale="70" zoomScaleNormal="70" workbookViewId="0">
      <selection sqref="A1:H25"/>
    </sheetView>
  </sheetViews>
  <sheetFormatPr defaultColWidth="9" defaultRowHeight="15.75" x14ac:dyDescent="0.25"/>
  <cols>
    <col min="1" max="1" width="13.28515625" style="1" customWidth="1"/>
    <col min="2" max="2" width="12.42578125" style="1" customWidth="1"/>
    <col min="3" max="3" width="18" style="1" customWidth="1"/>
    <col min="4" max="4" width="18.140625" style="1" customWidth="1"/>
    <col min="5" max="5" width="17.28515625" style="1" customWidth="1"/>
    <col min="6" max="6" width="19.42578125" style="1" customWidth="1"/>
    <col min="7" max="7" width="17.28515625" style="1" customWidth="1"/>
    <col min="8" max="8" width="19.28515625" style="1" customWidth="1"/>
    <col min="9" max="9" width="31.42578125" style="1" bestFit="1" customWidth="1"/>
    <col min="10" max="11" width="11.5703125" style="1" bestFit="1" customWidth="1"/>
    <col min="12" max="12" width="12.5703125" style="1" bestFit="1" customWidth="1"/>
    <col min="13" max="13" width="9" style="1"/>
    <col min="14" max="14" width="14.140625" style="1" customWidth="1"/>
    <col min="15" max="17" width="5.28515625" style="1" bestFit="1" customWidth="1"/>
    <col min="18" max="18" width="6.85546875" style="1" bestFit="1" customWidth="1"/>
    <col min="19" max="19" width="6.5703125" style="1" bestFit="1" customWidth="1"/>
    <col min="20" max="20" width="5.7109375" style="1" bestFit="1" customWidth="1"/>
    <col min="21" max="21" width="7.5703125" style="1" bestFit="1" customWidth="1"/>
    <col min="22" max="25" width="12" style="1" bestFit="1" customWidth="1"/>
    <col min="26" max="27" width="11" style="1" bestFit="1" customWidth="1"/>
    <col min="28" max="28" width="10.140625" style="1" bestFit="1" customWidth="1"/>
    <col min="29" max="16384" width="9" style="1"/>
  </cols>
  <sheetData>
    <row r="1" spans="1:47" ht="30" x14ac:dyDescent="0.25">
      <c r="A1" s="399" t="s">
        <v>121</v>
      </c>
      <c r="B1" s="400"/>
      <c r="C1" s="400"/>
      <c r="D1" s="400"/>
      <c r="E1" s="400"/>
      <c r="F1" s="400"/>
      <c r="G1" s="400"/>
      <c r="H1" s="401"/>
      <c r="I1" s="38"/>
    </row>
    <row r="2" spans="1:47" ht="20.25" x14ac:dyDescent="0.25">
      <c r="A2" s="114" t="s">
        <v>146</v>
      </c>
      <c r="B2" s="402" t="s">
        <v>42</v>
      </c>
      <c r="C2" s="403"/>
      <c r="D2" s="115" t="s">
        <v>125</v>
      </c>
      <c r="E2" s="402" t="s">
        <v>38</v>
      </c>
      <c r="F2" s="403"/>
      <c r="G2" s="402" t="s">
        <v>122</v>
      </c>
      <c r="H2" s="408"/>
      <c r="I2" s="38"/>
    </row>
    <row r="3" spans="1:47" ht="20.25" x14ac:dyDescent="0.25">
      <c r="A3" s="143" t="s">
        <v>41</v>
      </c>
      <c r="B3" s="144">
        <f>E3*D3</f>
        <v>27.585937500000007</v>
      </c>
      <c r="C3" s="145" t="s">
        <v>140</v>
      </c>
      <c r="D3" s="36">
        <v>1.5</v>
      </c>
      <c r="E3" s="137">
        <f>AVERAGE('1- تحديد الأبعاد الأولية'!I19:I34)*25</f>
        <v>18.390625000000004</v>
      </c>
      <c r="F3" s="145" t="s">
        <v>141</v>
      </c>
      <c r="G3" s="406" t="s">
        <v>126</v>
      </c>
      <c r="H3" s="407"/>
      <c r="I3" s="38"/>
    </row>
    <row r="4" spans="1:47" ht="20.25" x14ac:dyDescent="0.25">
      <c r="A4" s="143" t="s">
        <v>41</v>
      </c>
      <c r="B4" s="103">
        <f>E4*D4</f>
        <v>10.5</v>
      </c>
      <c r="C4" s="145" t="s">
        <v>142</v>
      </c>
      <c r="D4" s="36">
        <v>1.5</v>
      </c>
      <c r="E4" s="149">
        <f>'0- المعطيات'!I20</f>
        <v>7</v>
      </c>
      <c r="F4" s="145" t="s">
        <v>143</v>
      </c>
      <c r="G4" s="406" t="s">
        <v>1</v>
      </c>
      <c r="H4" s="407"/>
      <c r="I4" s="38"/>
    </row>
    <row r="5" spans="1:47" ht="20.25" x14ac:dyDescent="0.25">
      <c r="A5" s="143" t="s">
        <v>41</v>
      </c>
      <c r="B5" s="103">
        <f>E5*D5</f>
        <v>27</v>
      </c>
      <c r="C5" s="145" t="s">
        <v>144</v>
      </c>
      <c r="D5" s="36">
        <v>1.8</v>
      </c>
      <c r="E5" s="149">
        <f>'0- المعطيات'!I21</f>
        <v>15</v>
      </c>
      <c r="F5" s="145" t="s">
        <v>40</v>
      </c>
      <c r="G5" s="406" t="s">
        <v>39</v>
      </c>
      <c r="H5" s="407"/>
      <c r="I5" s="38"/>
    </row>
    <row r="6" spans="1:47" ht="21" thickBot="1" x14ac:dyDescent="0.3">
      <c r="A6" s="146" t="s">
        <v>41</v>
      </c>
      <c r="B6" s="147">
        <f>SUM(B3:B5)</f>
        <v>65.0859375</v>
      </c>
      <c r="C6" s="148" t="s">
        <v>145</v>
      </c>
      <c r="D6" s="151"/>
      <c r="E6" s="150">
        <f>SUM(E3:E5)</f>
        <v>40.390625</v>
      </c>
      <c r="F6" s="148" t="s">
        <v>124</v>
      </c>
      <c r="G6" s="404" t="s">
        <v>123</v>
      </c>
      <c r="H6" s="405"/>
      <c r="I6" s="38"/>
    </row>
    <row r="7" spans="1:47" ht="21" thickBot="1" x14ac:dyDescent="0.3">
      <c r="A7" s="24"/>
      <c r="B7" s="24"/>
      <c r="C7" s="24"/>
      <c r="D7" s="24"/>
      <c r="E7" s="24"/>
      <c r="F7" s="24"/>
      <c r="G7" s="24"/>
      <c r="H7" s="24"/>
      <c r="I7" s="38"/>
    </row>
    <row r="8" spans="1:47" ht="20.25" x14ac:dyDescent="0.25">
      <c r="A8" s="113" t="s">
        <v>43</v>
      </c>
      <c r="B8" s="116" t="s">
        <v>44</v>
      </c>
      <c r="C8" s="116" t="s">
        <v>131</v>
      </c>
      <c r="D8" s="116" t="s">
        <v>130</v>
      </c>
      <c r="E8" s="116" t="s">
        <v>127</v>
      </c>
      <c r="F8" s="116" t="s">
        <v>128</v>
      </c>
      <c r="G8" s="116" t="s">
        <v>129</v>
      </c>
      <c r="H8" s="117" t="s">
        <v>48</v>
      </c>
      <c r="I8" s="38"/>
    </row>
    <row r="9" spans="1:47" ht="20.25" x14ac:dyDescent="0.25">
      <c r="A9" s="140">
        <f>0</f>
        <v>0</v>
      </c>
      <c r="B9" s="103">
        <f>A24</f>
        <v>15</v>
      </c>
      <c r="C9" s="152">
        <f>($E$3*'0- المعطيات'!$K$10/2*B9)-($E$3*B9*B9/2)</f>
        <v>2068.9453125000005</v>
      </c>
      <c r="D9" s="152">
        <f>($E$4*'0- المعطيات'!$K$10/2*B9)-($E$4*B9*B9/2)</f>
        <v>787.5</v>
      </c>
      <c r="E9" s="153">
        <f>($E$5*'0- المعطيات'!$K$10/2*B9)-($E$5*B9*B9/2)</f>
        <v>1687.5</v>
      </c>
      <c r="F9" s="152">
        <f>SUM(C9:E9)</f>
        <v>4543.9453125</v>
      </c>
      <c r="G9" s="152">
        <f>C9*$D$3+D9*$D$4+E9*$D$5</f>
        <v>7322.1679687500009</v>
      </c>
      <c r="H9" s="154">
        <f>G9/'1- تحديد الأبعاد الأولية'!N19</f>
        <v>25413.035818122069</v>
      </c>
      <c r="I9" s="38"/>
      <c r="N9" s="16"/>
    </row>
    <row r="10" spans="1:47" ht="20.25" x14ac:dyDescent="0.25">
      <c r="A10" s="140">
        <f>A9+1</f>
        <v>1</v>
      </c>
      <c r="B10" s="103">
        <f>B9-'0- المعطيات'!$K$16</f>
        <v>14</v>
      </c>
      <c r="C10" s="152">
        <f>($E$3*'0- المعطيات'!$K$10/2*B10)-($E$3*B10*B10/2)</f>
        <v>2059.7500000000005</v>
      </c>
      <c r="D10" s="152">
        <f>($E$4*'0- المعطيات'!$K$10/2*B10)-($E$4*B10*B10/2)</f>
        <v>784</v>
      </c>
      <c r="E10" s="153">
        <f>($E$5*'0- المعطيات'!$K$10/2*B10)-($E$5*B10*B10/2)</f>
        <v>1680</v>
      </c>
      <c r="F10" s="152">
        <f t="shared" ref="F10:F25" si="0">C10+D10+E10</f>
        <v>4523.75</v>
      </c>
      <c r="G10" s="152">
        <f t="shared" ref="G10:G25" si="1">C10*$D$3+D10*$D$4+E10*$D$5</f>
        <v>7289.6250000000009</v>
      </c>
      <c r="H10" s="154">
        <f>G10/'1- تحديد الأبعاد الأولية'!N20</f>
        <v>26586.355311298128</v>
      </c>
      <c r="I10" s="38"/>
    </row>
    <row r="11" spans="1:47" ht="20.25" x14ac:dyDescent="0.25">
      <c r="A11" s="140">
        <f t="shared" ref="A11:A24" si="2">A10+1</f>
        <v>2</v>
      </c>
      <c r="B11" s="103">
        <f>B10-'0- المعطيات'!$K$16</f>
        <v>13</v>
      </c>
      <c r="C11" s="152">
        <f>($E$3*'0- المعطيات'!$K$10/2*B11)-($E$3*B11*B11/2)</f>
        <v>2032.1640625000005</v>
      </c>
      <c r="D11" s="152">
        <f>($E$4*'0- المعطيات'!$K$10/2*B11)-($E$4*B11*B11/2)</f>
        <v>773.5</v>
      </c>
      <c r="E11" s="153">
        <f>($E$5*'0- المعطيات'!$K$10/2*B11)-($E$5*B11*B11/2)</f>
        <v>1657.5</v>
      </c>
      <c r="F11" s="152">
        <f t="shared" si="0"/>
        <v>4463.1640625</v>
      </c>
      <c r="G11" s="152">
        <f t="shared" si="1"/>
        <v>7191.9960937500009</v>
      </c>
      <c r="H11" s="154">
        <f>G11/'1- تحديد الأبعاد الأولية'!N21</f>
        <v>27599.633914712169</v>
      </c>
      <c r="I11" s="38"/>
    </row>
    <row r="12" spans="1:47" ht="20.25" x14ac:dyDescent="0.25">
      <c r="A12" s="140">
        <f t="shared" si="2"/>
        <v>3</v>
      </c>
      <c r="B12" s="103">
        <f>B11-'0- المعطيات'!$K$16</f>
        <v>12</v>
      </c>
      <c r="C12" s="152">
        <f>($E$3*'0- المعطيات'!$K$10/2*B12)-($E$3*B12*B12/2)</f>
        <v>1986.1875000000005</v>
      </c>
      <c r="D12" s="152">
        <f>($E$4*'0- المعطيات'!$K$10/2*B12)-($E$4*B12*B12/2)</f>
        <v>756</v>
      </c>
      <c r="E12" s="153">
        <f>($E$5*'0- المعطيات'!$K$10/2*B12)-($E$5*B12*B12/2)</f>
        <v>1620</v>
      </c>
      <c r="F12" s="152">
        <f t="shared" si="0"/>
        <v>4362.1875</v>
      </c>
      <c r="G12" s="152">
        <f t="shared" si="1"/>
        <v>7029.2812500000009</v>
      </c>
      <c r="H12" s="154">
        <f>G12/'1- تحديد الأبعاد الأولية'!N22</f>
        <v>28422.309121654307</v>
      </c>
      <c r="I12" s="38"/>
    </row>
    <row r="13" spans="1:47" ht="20.25" x14ac:dyDescent="0.25">
      <c r="A13" s="140">
        <f t="shared" si="2"/>
        <v>4</v>
      </c>
      <c r="B13" s="103">
        <f>B12-'0- المعطيات'!$K$16</f>
        <v>11</v>
      </c>
      <c r="C13" s="152">
        <f>($E$3*'0- المعطيات'!$K$10/2*B13)-($E$3*B13*B13/2)</f>
        <v>1921.8203125000002</v>
      </c>
      <c r="D13" s="152">
        <f>($E$4*'0- المعطيات'!$K$10/2*B13)-($E$4*B13*B13/2)</f>
        <v>731.5</v>
      </c>
      <c r="E13" s="153">
        <f>($E$5*'0- المعطيات'!$K$10/2*B13)-($E$5*B13*B13/2)</f>
        <v>1567.5</v>
      </c>
      <c r="F13" s="152">
        <f t="shared" si="0"/>
        <v>4220.8203125</v>
      </c>
      <c r="G13" s="152">
        <f t="shared" si="1"/>
        <v>6801.48046875</v>
      </c>
      <c r="H13" s="154">
        <f>G13/'1- تحديد الأبعاد الأولية'!N23</f>
        <v>29018.446213110819</v>
      </c>
      <c r="I13" s="38"/>
    </row>
    <row r="14" spans="1:47" ht="20.25" x14ac:dyDescent="0.25">
      <c r="A14" s="140">
        <f t="shared" si="2"/>
        <v>5</v>
      </c>
      <c r="B14" s="103">
        <f>B13-'0- المعطيات'!$K$16</f>
        <v>10</v>
      </c>
      <c r="C14" s="152">
        <f>($E$3*'0- المعطيات'!$K$10/2*B14)-($E$3*B14*B14/2)</f>
        <v>1839.0625000000005</v>
      </c>
      <c r="D14" s="152">
        <f>($E$4*'0- المعطيات'!$K$10/2*B14)-($E$4*B14*B14/2)</f>
        <v>700</v>
      </c>
      <c r="E14" s="153">
        <f>($E$5*'0- المعطيات'!$K$10/2*B14)-($E$5*B14*B14/2)</f>
        <v>1500</v>
      </c>
      <c r="F14" s="152">
        <f t="shared" si="0"/>
        <v>4039.0625000000005</v>
      </c>
      <c r="G14" s="152">
        <f t="shared" si="1"/>
        <v>6508.5937500000009</v>
      </c>
      <c r="H14" s="154">
        <f>G14/'1- تحديد الأبعاد الأولية'!N24</f>
        <v>29345.677837014482</v>
      </c>
      <c r="I14" s="38"/>
    </row>
    <row r="15" spans="1:47" ht="20.25" x14ac:dyDescent="0.25">
      <c r="A15" s="140">
        <f t="shared" si="2"/>
        <v>6</v>
      </c>
      <c r="B15" s="103">
        <f>B14-'0- المعطيات'!$K$16</f>
        <v>9</v>
      </c>
      <c r="C15" s="152">
        <f>($E$3*'0- المعطيات'!$K$10/2*B15)-($E$3*B15*B15/2)</f>
        <v>1737.9140625000005</v>
      </c>
      <c r="D15" s="152">
        <f>($E$4*'0- المعطيات'!$K$10/2*B15)-($E$4*B15*B15/2)</f>
        <v>661.5</v>
      </c>
      <c r="E15" s="153">
        <f>($E$5*'0- المعطيات'!$K$10/2*B15)-($E$5*B15*B15/2)</f>
        <v>1417.5</v>
      </c>
      <c r="F15" s="152">
        <f t="shared" si="0"/>
        <v>3816.9140625000005</v>
      </c>
      <c r="G15" s="152">
        <f t="shared" si="1"/>
        <v>6150.6210937500009</v>
      </c>
      <c r="H15" s="154">
        <f>G15/'1- تحديد الأبعاد الأولية'!N25</f>
        <v>29353.901881249985</v>
      </c>
      <c r="I15" s="38"/>
    </row>
    <row r="16" spans="1:47" ht="20.25" x14ac:dyDescent="0.25">
      <c r="A16" s="140">
        <f t="shared" si="2"/>
        <v>7</v>
      </c>
      <c r="B16" s="103">
        <f>B15-'0- المعطيات'!$K$16</f>
        <v>8</v>
      </c>
      <c r="C16" s="152">
        <f>($E$3*'0- المعطيات'!$K$10/2*B16)-($E$3*B16*B16/2)</f>
        <v>1618.3750000000005</v>
      </c>
      <c r="D16" s="152">
        <f>($E$4*'0- المعطيات'!$K$10/2*B16)-($E$4*B16*B16/2)</f>
        <v>616</v>
      </c>
      <c r="E16" s="153">
        <f>($E$5*'0- المعطيات'!$K$10/2*B16)-($E$5*B16*B16/2)</f>
        <v>1320</v>
      </c>
      <c r="F16" s="152">
        <f t="shared" si="0"/>
        <v>3554.3750000000005</v>
      </c>
      <c r="G16" s="152">
        <f t="shared" si="1"/>
        <v>5727.5625000000009</v>
      </c>
      <c r="H16" s="154">
        <f>G16/'1- تحديد الأبعاد الأولية'!N26</f>
        <v>28983.674032440758</v>
      </c>
      <c r="I16" s="38"/>
      <c r="AG16" s="398" t="s">
        <v>46</v>
      </c>
      <c r="AH16" s="398"/>
      <c r="AI16" s="398"/>
      <c r="AJ16" s="398"/>
      <c r="AK16" s="398"/>
      <c r="AL16" s="398"/>
      <c r="AM16" s="398"/>
      <c r="AN16" s="398"/>
      <c r="AO16" s="398"/>
      <c r="AP16" s="398"/>
      <c r="AQ16" s="398"/>
      <c r="AR16" s="398"/>
      <c r="AS16" s="398"/>
      <c r="AT16" s="398"/>
      <c r="AU16" s="398"/>
    </row>
    <row r="17" spans="1:47" ht="20.25" x14ac:dyDescent="0.25">
      <c r="A17" s="140">
        <f t="shared" si="2"/>
        <v>8</v>
      </c>
      <c r="B17" s="103">
        <f>B16-'0- المعطيات'!$K$16</f>
        <v>7</v>
      </c>
      <c r="C17" s="152">
        <f>($E$3*'0- المعطيات'!$K$10/2*B17)-($E$3*B17*B17/2)</f>
        <v>1480.4453125000005</v>
      </c>
      <c r="D17" s="152">
        <f>($E$4*'0- المعطيات'!$K$10/2*B17)-($E$4*B17*B17/2)</f>
        <v>563.5</v>
      </c>
      <c r="E17" s="153">
        <f>($E$5*'0- المعطيات'!$K$10/2*B17)-($E$5*B17*B17/2)</f>
        <v>1207.5</v>
      </c>
      <c r="F17" s="152">
        <f t="shared" si="0"/>
        <v>3251.4453125000005</v>
      </c>
      <c r="G17" s="152">
        <f t="shared" si="1"/>
        <v>5239.4179687500009</v>
      </c>
      <c r="H17" s="154">
        <f>G17/'1- تحديد الأبعاد الأولية'!N27</f>
        <v>28164.212213784143</v>
      </c>
      <c r="I17" s="38"/>
      <c r="AG17" s="12" t="s">
        <v>43</v>
      </c>
      <c r="AH17" s="14" t="s">
        <v>29</v>
      </c>
      <c r="AI17" s="14" t="s">
        <v>30</v>
      </c>
      <c r="AJ17" s="14" t="s">
        <v>31</v>
      </c>
      <c r="AK17" s="14" t="s">
        <v>32</v>
      </c>
      <c r="AL17" s="14" t="s">
        <v>33</v>
      </c>
      <c r="AM17" s="14" t="s">
        <v>34</v>
      </c>
      <c r="AN17" s="14" t="s">
        <v>49</v>
      </c>
      <c r="AO17" s="14" t="s">
        <v>50</v>
      </c>
      <c r="AP17" s="14" t="s">
        <v>51</v>
      </c>
      <c r="AQ17" s="14" t="s">
        <v>52</v>
      </c>
      <c r="AR17" s="14" t="s">
        <v>53</v>
      </c>
      <c r="AS17" s="14" t="s">
        <v>54</v>
      </c>
      <c r="AT17" s="12" t="s">
        <v>45</v>
      </c>
      <c r="AU17" s="12" t="s">
        <v>47</v>
      </c>
    </row>
    <row r="18" spans="1:47" ht="20.25" x14ac:dyDescent="0.25">
      <c r="A18" s="140">
        <f t="shared" si="2"/>
        <v>9</v>
      </c>
      <c r="B18" s="103">
        <f>B17-'0- المعطيات'!$K$16</f>
        <v>6</v>
      </c>
      <c r="C18" s="152">
        <f>($E$3*'0- المعطيات'!$K$10/2*B18)-($E$3*B18*B18/2)</f>
        <v>1324.1250000000005</v>
      </c>
      <c r="D18" s="152">
        <f>($E$4*'0- المعطيات'!$K$10/2*B18)-($E$4*B18*B18/2)</f>
        <v>504</v>
      </c>
      <c r="E18" s="153">
        <f>($E$5*'0- المعطيات'!$K$10/2*B18)-($E$5*B18*B18/2)</f>
        <v>1080</v>
      </c>
      <c r="F18" s="152">
        <f t="shared" si="0"/>
        <v>2908.1250000000005</v>
      </c>
      <c r="G18" s="152">
        <f t="shared" si="1"/>
        <v>4686.1875000000009</v>
      </c>
      <c r="H18" s="154">
        <f>G18/'1- تحديد الأبعاد الأولية'!N28</f>
        <v>26810.904302374005</v>
      </c>
      <c r="I18" s="38"/>
      <c r="AG18" s="2">
        <v>6</v>
      </c>
      <c r="AH18" s="2">
        <v>6</v>
      </c>
      <c r="AI18" s="2">
        <v>1.6999999999999997</v>
      </c>
      <c r="AJ18" s="2">
        <v>0.25</v>
      </c>
      <c r="AK18" s="2">
        <v>1.4499999999999997</v>
      </c>
      <c r="AL18" s="2">
        <v>0.4</v>
      </c>
      <c r="AM18" s="2">
        <v>0.6</v>
      </c>
      <c r="AN18" s="2">
        <v>0.73</v>
      </c>
      <c r="AO18" s="15">
        <v>0.8003424657534246</v>
      </c>
      <c r="AP18" s="15">
        <v>0.89965753424657513</v>
      </c>
      <c r="AQ18" s="15">
        <v>0.18850824771689489</v>
      </c>
      <c r="AR18" s="15">
        <v>0.23553448152902573</v>
      </c>
      <c r="AS18" s="15">
        <v>0.20953333967770582</v>
      </c>
      <c r="AT18" s="13">
        <f>($E$3*15*AH18)-($E$3*AH18*AH18/2)</f>
        <v>1324.1250000000005</v>
      </c>
      <c r="AU18" s="13">
        <f>AR18+AS18+AT18</f>
        <v>1324.5700678212072</v>
      </c>
    </row>
    <row r="19" spans="1:47" ht="20.25" x14ac:dyDescent="0.25">
      <c r="A19" s="140">
        <f t="shared" si="2"/>
        <v>10</v>
      </c>
      <c r="B19" s="103">
        <f>B18-'0- المعطيات'!$K$16</f>
        <v>5</v>
      </c>
      <c r="C19" s="152">
        <f>($E$3*'0- المعطيات'!$K$10/2*B19)-($E$3*B19*B19/2)</f>
        <v>1149.4140625000002</v>
      </c>
      <c r="D19" s="152">
        <f>($E$4*'0- المعطيات'!$K$10/2*B19)-($E$4*B19*B19/2)</f>
        <v>437.5</v>
      </c>
      <c r="E19" s="153">
        <f>($E$5*'0- المعطيات'!$K$10/2*B19)-($E$5*B19*B19/2)</f>
        <v>937.5</v>
      </c>
      <c r="F19" s="152">
        <f t="shared" si="0"/>
        <v>2524.4140625</v>
      </c>
      <c r="G19" s="152">
        <f t="shared" si="1"/>
        <v>4067.8710937500005</v>
      </c>
      <c r="H19" s="154">
        <f>G19/'1- تحديد الأبعاد الأولية'!N29</f>
        <v>24822.175582018706</v>
      </c>
      <c r="I19" s="38"/>
    </row>
    <row r="20" spans="1:47" ht="20.25" x14ac:dyDescent="0.25">
      <c r="A20" s="140">
        <f t="shared" si="2"/>
        <v>11</v>
      </c>
      <c r="B20" s="103">
        <f>B19-'0- المعطيات'!$K$16</f>
        <v>4</v>
      </c>
      <c r="C20" s="152">
        <f>($E$3*'0- المعطيات'!$K$10/2*B20)-($E$3*B20*B20/2)</f>
        <v>956.31250000000023</v>
      </c>
      <c r="D20" s="152">
        <f>($E$4*'0- المعطيات'!$K$10/2*B20)-($E$4*B20*B20/2)</f>
        <v>364</v>
      </c>
      <c r="E20" s="153">
        <f>($E$5*'0- المعطيات'!$K$10/2*B20)-($E$5*B20*B20/2)</f>
        <v>780</v>
      </c>
      <c r="F20" s="152">
        <f t="shared" si="0"/>
        <v>2100.3125</v>
      </c>
      <c r="G20" s="152">
        <f t="shared" si="1"/>
        <v>3384.4687500000005</v>
      </c>
      <c r="H20" s="154">
        <f>G20/'1- تحديد الأبعاد الأولية'!N30</f>
        <v>22075.524621797449</v>
      </c>
      <c r="I20" s="38"/>
    </row>
    <row r="21" spans="1:47" ht="20.25" x14ac:dyDescent="0.25">
      <c r="A21" s="140">
        <f t="shared" si="2"/>
        <v>12</v>
      </c>
      <c r="B21" s="103">
        <f>B20-'0- المعطيات'!$K$16</f>
        <v>3</v>
      </c>
      <c r="C21" s="152">
        <f>($E$3*'0- المعطيات'!$K$10/2*B21)-($E$3*B21*B21/2)</f>
        <v>744.82031250000023</v>
      </c>
      <c r="D21" s="152">
        <f>($E$4*'0- المعطيات'!$K$10/2*B21)-($E$4*B21*B21/2)</f>
        <v>283.5</v>
      </c>
      <c r="E21" s="153">
        <f>($E$5*'0- المعطيات'!$K$10/2*B21)-($E$5*B21*B21/2)</f>
        <v>607.5</v>
      </c>
      <c r="F21" s="152">
        <f t="shared" si="0"/>
        <v>1635.8203125000002</v>
      </c>
      <c r="G21" s="152">
        <f t="shared" si="1"/>
        <v>2635.9804687500005</v>
      </c>
      <c r="H21" s="154">
        <f>G21/'1- تحديد الأبعاد الأولية'!N31</f>
        <v>17024.975149183181</v>
      </c>
      <c r="I21" s="38"/>
    </row>
    <row r="22" spans="1:47" ht="20.25" x14ac:dyDescent="0.25">
      <c r="A22" s="140">
        <f t="shared" si="2"/>
        <v>13</v>
      </c>
      <c r="B22" s="103">
        <f>B21-'0- المعطيات'!$K$16</f>
        <v>2</v>
      </c>
      <c r="C22" s="152">
        <f>($E$3*'0- المعطيات'!$K$10/2*B22)-($E$3*B22*B22/2)</f>
        <v>514.93750000000011</v>
      </c>
      <c r="D22" s="152">
        <f>($E$4*'0- المعطيات'!$K$10/2*B22)-($E$4*B22*B22/2)</f>
        <v>196</v>
      </c>
      <c r="E22" s="153">
        <f>($E$5*'0- المعطيات'!$K$10/2*B22)-($E$5*B22*B22/2)</f>
        <v>420</v>
      </c>
      <c r="F22" s="152">
        <f t="shared" si="0"/>
        <v>1130.9375</v>
      </c>
      <c r="G22" s="152">
        <f t="shared" si="1"/>
        <v>1822.4062500000002</v>
      </c>
      <c r="H22" s="154">
        <f>G22/'1- تحديد الأبعاد الأولية'!N32</f>
        <v>11266.856818666698</v>
      </c>
      <c r="I22" s="38"/>
    </row>
    <row r="23" spans="1:47" ht="20.25" x14ac:dyDescent="0.25">
      <c r="A23" s="140">
        <f t="shared" si="2"/>
        <v>14</v>
      </c>
      <c r="B23" s="103">
        <f>B22-'0- المعطيات'!$K$16</f>
        <v>1</v>
      </c>
      <c r="C23" s="152">
        <f>($E$3*'0- المعطيات'!$K$10/2*B23)-($E$3*B23*B23/2)</f>
        <v>266.66406250000006</v>
      </c>
      <c r="D23" s="152">
        <f>($E$4*'0- المعطيات'!$K$10/2*B23)-($E$4*B23*B23/2)</f>
        <v>101.5</v>
      </c>
      <c r="E23" s="153">
        <f>($E$5*'0- المعطيات'!$K$10/2*B23)-($E$5*B23*B23/2)</f>
        <v>217.5</v>
      </c>
      <c r="F23" s="152">
        <f t="shared" si="0"/>
        <v>585.6640625</v>
      </c>
      <c r="G23" s="152">
        <f t="shared" si="1"/>
        <v>943.74609375000011</v>
      </c>
      <c r="H23" s="154">
        <f>G23/'1- تحديد الأبعاد الأولية'!N33</f>
        <v>5689.1022878392405</v>
      </c>
      <c r="I23" s="38"/>
    </row>
    <row r="24" spans="1:47" ht="20.25" x14ac:dyDescent="0.25">
      <c r="A24" s="140">
        <f t="shared" si="2"/>
        <v>15</v>
      </c>
      <c r="B24" s="103">
        <f>B23-'0- المعطيات'!$K$16</f>
        <v>0</v>
      </c>
      <c r="C24" s="152">
        <f>($E$3*'0- المعطيات'!$K$10/2*B24)-($E$3*B24*B24/2)</f>
        <v>0</v>
      </c>
      <c r="D24" s="152">
        <f>($E$4*'0- المعطيات'!$K$10/2*B24)-($E$4*B24*B24/2)</f>
        <v>0</v>
      </c>
      <c r="E24" s="153">
        <f>($E$5*'0- المعطيات'!$K$10/2*B24)-($E$5*B24*B24/2)</f>
        <v>0</v>
      </c>
      <c r="F24" s="152">
        <f t="shared" si="0"/>
        <v>0</v>
      </c>
      <c r="G24" s="152">
        <f t="shared" si="1"/>
        <v>0</v>
      </c>
      <c r="H24" s="154">
        <f>G24/'1- تحديد الأبعاد الأولية'!N34</f>
        <v>0</v>
      </c>
      <c r="I24" s="38"/>
    </row>
    <row r="25" spans="1:47" ht="61.5" thickBot="1" x14ac:dyDescent="0.3">
      <c r="A25" s="141" t="s">
        <v>35</v>
      </c>
      <c r="B25" s="151">
        <f>'0- المعطيات'!C8</f>
        <v>3.5999999999999996</v>
      </c>
      <c r="C25" s="155">
        <f>($E$3*'0- المعطيات'!$K$10/2*B25)-($E$3*B25*B25/2)</f>
        <v>873.92250000000013</v>
      </c>
      <c r="D25" s="155">
        <f>($E$4*'0- المعطيات'!$K$10/2*B25)-($E$4*B25*B25/2)</f>
        <v>332.64</v>
      </c>
      <c r="E25" s="156">
        <f>($E$5*'0- المعطيات'!$K$10/2*B25)-($E$5*B25*B25/2)</f>
        <v>712.8</v>
      </c>
      <c r="F25" s="155">
        <f t="shared" si="0"/>
        <v>1919.3625</v>
      </c>
      <c r="G25" s="155">
        <f t="shared" si="1"/>
        <v>3092.88375</v>
      </c>
      <c r="H25" s="157">
        <f>G25/'1- تحديد الأبعاد الأولية'!N35</f>
        <v>20732.397073329368</v>
      </c>
      <c r="I25" s="38"/>
    </row>
    <row r="38" spans="3:23" x14ac:dyDescent="0.25">
      <c r="C38" s="3"/>
      <c r="D38" s="3"/>
      <c r="E38" s="3"/>
      <c r="F38" s="3"/>
      <c r="G38" s="3"/>
    </row>
    <row r="39" spans="3:23" x14ac:dyDescent="0.25">
      <c r="C39" s="3"/>
      <c r="D39" s="3"/>
      <c r="E39" s="4"/>
      <c r="F39" s="4"/>
      <c r="G39" s="3"/>
    </row>
    <row r="40" spans="3:23" x14ac:dyDescent="0.25">
      <c r="C40" s="3"/>
      <c r="D40" s="3"/>
      <c r="E40" s="3"/>
      <c r="F40" s="3"/>
      <c r="G40" s="3"/>
      <c r="S40" s="16"/>
      <c r="T40" s="17"/>
      <c r="U40" s="16"/>
      <c r="V40" s="16"/>
      <c r="W40" s="16"/>
    </row>
    <row r="41" spans="3:23" x14ac:dyDescent="0.25">
      <c r="C41" s="3"/>
      <c r="D41" s="3"/>
      <c r="E41" s="3"/>
      <c r="F41" s="3"/>
      <c r="G41" s="3"/>
    </row>
    <row r="42" spans="3:23" x14ac:dyDescent="0.25">
      <c r="C42" s="3"/>
      <c r="D42" s="3"/>
      <c r="E42" s="3"/>
      <c r="F42" s="3"/>
      <c r="G42" s="3"/>
    </row>
    <row r="43" spans="3:23" x14ac:dyDescent="0.25">
      <c r="C43" s="3"/>
      <c r="D43" s="3"/>
      <c r="E43" s="3"/>
      <c r="F43" s="3"/>
      <c r="G43" s="3"/>
    </row>
    <row r="44" spans="3:23" x14ac:dyDescent="0.25">
      <c r="C44" s="3"/>
      <c r="D44" s="3"/>
      <c r="E44" s="3"/>
      <c r="F44" s="3"/>
      <c r="G44" s="3"/>
    </row>
    <row r="45" spans="3:23" x14ac:dyDescent="0.25">
      <c r="C45" s="3"/>
      <c r="D45" s="3"/>
      <c r="E45" s="3"/>
      <c r="F45" s="3"/>
      <c r="G45" s="3"/>
    </row>
  </sheetData>
  <mergeCells count="9">
    <mergeCell ref="AG16:AU16"/>
    <mergeCell ref="A1:H1"/>
    <mergeCell ref="B2:C2"/>
    <mergeCell ref="E2:F2"/>
    <mergeCell ref="G6:H6"/>
    <mergeCell ref="G5:H5"/>
    <mergeCell ref="G4:H4"/>
    <mergeCell ref="G3:H3"/>
    <mergeCell ref="G2:H2"/>
  </mergeCells>
  <pageMargins left="0.7" right="0.7" top="0.75" bottom="0.75" header="0.3" footer="0.3"/>
  <pageSetup paperSize="9" scale="24" orientation="landscape" horizontalDpi="300" verticalDpi="300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ورقة4">
    <tabColor rgb="FF00B050"/>
  </sheetPr>
  <dimension ref="A1:S45"/>
  <sheetViews>
    <sheetView showGridLines="0" topLeftCell="A25" workbookViewId="0">
      <selection activeCell="P17" sqref="P17"/>
    </sheetView>
  </sheetViews>
  <sheetFormatPr defaultColWidth="9" defaultRowHeight="15.75" x14ac:dyDescent="0.25"/>
  <cols>
    <col min="1" max="3" width="9" style="10"/>
    <col min="4" max="4" width="9.42578125" style="10" bestFit="1" customWidth="1"/>
    <col min="5" max="5" width="14" style="10" customWidth="1"/>
    <col min="6" max="6" width="9.5703125" style="10" customWidth="1"/>
    <col min="7" max="7" width="9.140625" style="10" bestFit="1" customWidth="1"/>
    <col min="8" max="8" width="10.140625" style="10" bestFit="1" customWidth="1"/>
    <col min="9" max="16" width="9" style="10"/>
    <col min="17" max="19" width="0" style="10" hidden="1" customWidth="1"/>
    <col min="20" max="16384" width="9" style="10"/>
  </cols>
  <sheetData>
    <row r="1" spans="1:19" ht="16.5" thickBot="1" x14ac:dyDescent="0.3">
      <c r="A1" s="427" t="s">
        <v>56</v>
      </c>
      <c r="B1" s="428"/>
      <c r="C1" s="428"/>
      <c r="D1" s="428"/>
      <c r="E1" s="428"/>
      <c r="F1" s="428"/>
      <c r="G1" s="429"/>
      <c r="H1" s="40"/>
      <c r="I1" s="38"/>
      <c r="J1" s="38"/>
      <c r="N1" s="38"/>
      <c r="O1" s="38"/>
    </row>
    <row r="2" spans="1:19" ht="16.5" thickBot="1" x14ac:dyDescent="0.3">
      <c r="A2" s="126" t="s">
        <v>270</v>
      </c>
      <c r="B2" s="126">
        <f>'1- تحديد الأبعاد الأولية'!K34-B6</f>
        <v>0.47499999999999964</v>
      </c>
      <c r="C2" s="127" t="s">
        <v>271</v>
      </c>
      <c r="D2" s="128">
        <f>'0- المعطيات'!K10/2</f>
        <v>15</v>
      </c>
      <c r="E2" s="413" t="s">
        <v>55</v>
      </c>
      <c r="F2" s="414"/>
      <c r="G2" s="415"/>
      <c r="J2" s="38"/>
      <c r="K2" s="38"/>
      <c r="L2" s="38"/>
      <c r="M2" s="38"/>
      <c r="N2" s="38"/>
      <c r="O2" s="38"/>
    </row>
    <row r="3" spans="1:19" ht="16.5" thickBot="1" x14ac:dyDescent="0.3">
      <c r="A3" s="378" t="s">
        <v>58</v>
      </c>
      <c r="B3" s="416"/>
      <c r="C3" s="416"/>
      <c r="D3" s="379"/>
      <c r="E3" s="413" t="s">
        <v>69</v>
      </c>
      <c r="F3" s="414"/>
      <c r="G3" s="415"/>
      <c r="J3" s="38"/>
      <c r="K3" s="38"/>
      <c r="L3" s="38"/>
      <c r="M3" s="38"/>
      <c r="N3" s="38"/>
      <c r="O3" s="38"/>
      <c r="P3" s="3"/>
    </row>
    <row r="4" spans="1:19" ht="16.5" thickBot="1" x14ac:dyDescent="0.3">
      <c r="A4" s="129" t="s">
        <v>272</v>
      </c>
      <c r="B4" s="378">
        <f>B2/D2^2</f>
        <v>2.1111111111111096E-3</v>
      </c>
      <c r="C4" s="416"/>
      <c r="D4" s="379"/>
      <c r="E4" s="40"/>
      <c r="F4" s="40"/>
      <c r="G4" s="40"/>
      <c r="J4" s="38"/>
      <c r="K4" s="38"/>
      <c r="L4" s="38"/>
      <c r="M4" s="38"/>
      <c r="N4" s="38"/>
      <c r="O4" s="38"/>
    </row>
    <row r="5" spans="1:19" ht="16.5" thickBot="1" x14ac:dyDescent="0.3">
      <c r="B5" s="41"/>
      <c r="D5" s="40"/>
      <c r="E5" s="40"/>
      <c r="F5" s="432" t="s">
        <v>57</v>
      </c>
      <c r="G5" s="433"/>
      <c r="I5" s="3"/>
      <c r="J5" s="38"/>
      <c r="K5" s="38"/>
      <c r="L5" s="38"/>
      <c r="M5" s="38"/>
      <c r="N5" s="38"/>
      <c r="O5" s="38"/>
    </row>
    <row r="6" spans="1:19" ht="16.5" thickBot="1" x14ac:dyDescent="0.3">
      <c r="B6" s="37">
        <v>0.15</v>
      </c>
      <c r="C6" s="430" t="s">
        <v>273</v>
      </c>
      <c r="D6" s="431"/>
      <c r="E6" s="40"/>
      <c r="I6" s="3"/>
      <c r="J6" s="3"/>
    </row>
    <row r="7" spans="1:19" x14ac:dyDescent="0.25">
      <c r="A7" s="38"/>
      <c r="B7" s="38"/>
      <c r="C7" s="38"/>
      <c r="D7" s="38"/>
    </row>
    <row r="8" spans="1:19" ht="16.5" thickBot="1" x14ac:dyDescent="0.3"/>
    <row r="9" spans="1:19" x14ac:dyDescent="0.25">
      <c r="A9" s="118" t="s">
        <v>43</v>
      </c>
      <c r="B9" s="119" t="s">
        <v>59</v>
      </c>
      <c r="C9" s="120" t="s">
        <v>60</v>
      </c>
    </row>
    <row r="10" spans="1:19" x14ac:dyDescent="0.25">
      <c r="A10" s="121">
        <v>0</v>
      </c>
      <c r="B10" s="101">
        <v>0</v>
      </c>
      <c r="C10" s="123">
        <f t="shared" ref="C10:C25" si="0">($B$4*B10*B10)+$B$6</f>
        <v>0.15</v>
      </c>
      <c r="Q10" s="100">
        <f>B11-B10</f>
        <v>1</v>
      </c>
      <c r="R10" s="229">
        <f>C11-C10</f>
        <v>2.1111111111111192E-3</v>
      </c>
      <c r="S10" s="100">
        <f>(Q10*Q10+R10*R10)^0.5</f>
        <v>1.0000022283925789</v>
      </c>
    </row>
    <row r="11" spans="1:19" x14ac:dyDescent="0.25">
      <c r="A11" s="121">
        <v>1</v>
      </c>
      <c r="B11" s="101">
        <v>1</v>
      </c>
      <c r="C11" s="123">
        <f t="shared" si="0"/>
        <v>0.15211111111111111</v>
      </c>
      <c r="Q11" s="100">
        <f t="shared" ref="Q11:Q24" si="1">B12-B11</f>
        <v>1</v>
      </c>
      <c r="R11" s="229">
        <f t="shared" ref="R11:R24" si="2">C12-C11</f>
        <v>6.3333333333333297E-3</v>
      </c>
      <c r="S11" s="100">
        <f t="shared" ref="S11:S24" si="3">(Q11*Q11+R11*R11)^0.5</f>
        <v>1.0000200553544469</v>
      </c>
    </row>
    <row r="12" spans="1:19" x14ac:dyDescent="0.25">
      <c r="A12" s="121">
        <v>2</v>
      </c>
      <c r="B12" s="101">
        <v>2</v>
      </c>
      <c r="C12" s="123">
        <f t="shared" si="0"/>
        <v>0.15844444444444444</v>
      </c>
      <c r="Q12" s="100">
        <f t="shared" si="1"/>
        <v>1</v>
      </c>
      <c r="R12" s="229">
        <f t="shared" si="2"/>
        <v>1.055555555555554E-2</v>
      </c>
      <c r="S12" s="100">
        <f t="shared" si="3"/>
        <v>1.0000557083248345</v>
      </c>
    </row>
    <row r="13" spans="1:19" x14ac:dyDescent="0.25">
      <c r="A13" s="121">
        <v>3</v>
      </c>
      <c r="B13" s="101">
        <v>3</v>
      </c>
      <c r="C13" s="123">
        <f t="shared" si="0"/>
        <v>0.16899999999999998</v>
      </c>
      <c r="Q13" s="100">
        <f t="shared" si="1"/>
        <v>1</v>
      </c>
      <c r="R13" s="229">
        <f t="shared" si="2"/>
        <v>1.4777777777777779E-2</v>
      </c>
      <c r="S13" s="100">
        <f t="shared" si="3"/>
        <v>1.0001091853972992</v>
      </c>
    </row>
    <row r="14" spans="1:19" x14ac:dyDescent="0.25">
      <c r="A14" s="121">
        <v>4</v>
      </c>
      <c r="B14" s="101">
        <v>4</v>
      </c>
      <c r="C14" s="123">
        <f t="shared" si="0"/>
        <v>0.18377777777777776</v>
      </c>
      <c r="Q14" s="100">
        <f t="shared" si="1"/>
        <v>1</v>
      </c>
      <c r="R14" s="229">
        <f t="shared" si="2"/>
        <v>1.8999999999999961E-2</v>
      </c>
      <c r="S14" s="100">
        <f t="shared" si="3"/>
        <v>1.0001804837128148</v>
      </c>
    </row>
    <row r="15" spans="1:19" x14ac:dyDescent="0.25">
      <c r="A15" s="121">
        <v>5</v>
      </c>
      <c r="B15" s="101">
        <v>5</v>
      </c>
      <c r="C15" s="123">
        <f t="shared" si="0"/>
        <v>0.20277777777777772</v>
      </c>
      <c r="Q15" s="100">
        <f t="shared" si="1"/>
        <v>1</v>
      </c>
      <c r="R15" s="229">
        <f t="shared" si="2"/>
        <v>2.32222222222222E-2</v>
      </c>
      <c r="S15" s="100">
        <f t="shared" si="3"/>
        <v>1.0002695994605346</v>
      </c>
    </row>
    <row r="16" spans="1:19" x14ac:dyDescent="0.25">
      <c r="A16" s="121">
        <v>6</v>
      </c>
      <c r="B16" s="101">
        <v>6</v>
      </c>
      <c r="C16" s="123">
        <f t="shared" si="0"/>
        <v>0.22599999999999992</v>
      </c>
      <c r="Q16" s="100">
        <f t="shared" si="1"/>
        <v>1</v>
      </c>
      <c r="R16" s="229">
        <f t="shared" si="2"/>
        <v>2.7444444444444438E-2</v>
      </c>
      <c r="S16" s="100">
        <f t="shared" si="3"/>
        <v>1.0003765278788104</v>
      </c>
    </row>
    <row r="17" spans="1:19" x14ac:dyDescent="0.25">
      <c r="A17" s="121">
        <v>7</v>
      </c>
      <c r="B17" s="101">
        <v>7</v>
      </c>
      <c r="C17" s="123">
        <f t="shared" si="0"/>
        <v>0.25344444444444436</v>
      </c>
      <c r="Q17" s="100">
        <f t="shared" si="1"/>
        <v>1</v>
      </c>
      <c r="R17" s="229">
        <f t="shared" si="2"/>
        <v>3.1666666666666621E-2</v>
      </c>
      <c r="S17" s="100">
        <f t="shared" si="3"/>
        <v>1.0005012632564627</v>
      </c>
    </row>
    <row r="18" spans="1:19" x14ac:dyDescent="0.25">
      <c r="A18" s="121">
        <v>8</v>
      </c>
      <c r="B18" s="101">
        <v>8</v>
      </c>
      <c r="C18" s="123">
        <f t="shared" si="0"/>
        <v>0.28511111111111098</v>
      </c>
      <c r="Q18" s="100">
        <f t="shared" si="1"/>
        <v>1</v>
      </c>
      <c r="R18" s="229">
        <f t="shared" si="2"/>
        <v>3.5888888888888859E-2</v>
      </c>
      <c r="S18" s="100">
        <f t="shared" si="3"/>
        <v>1.0006437989343056</v>
      </c>
    </row>
    <row r="19" spans="1:19" x14ac:dyDescent="0.25">
      <c r="A19" s="121">
        <v>9</v>
      </c>
      <c r="B19" s="101">
        <v>9</v>
      </c>
      <c r="C19" s="123">
        <f t="shared" si="0"/>
        <v>0.32099999999999984</v>
      </c>
      <c r="Q19" s="100">
        <f t="shared" si="1"/>
        <v>1</v>
      </c>
      <c r="R19" s="229">
        <f t="shared" si="2"/>
        <v>4.0111111111111097E-2</v>
      </c>
      <c r="S19" s="100">
        <f t="shared" si="3"/>
        <v>1.000804127306921</v>
      </c>
    </row>
    <row r="20" spans="1:19" x14ac:dyDescent="0.25">
      <c r="A20" s="121">
        <v>10</v>
      </c>
      <c r="B20" s="101">
        <v>10</v>
      </c>
      <c r="C20" s="123">
        <f t="shared" si="0"/>
        <v>0.36111111111111094</v>
      </c>
      <c r="Q20" s="100">
        <f t="shared" si="1"/>
        <v>1</v>
      </c>
      <c r="R20" s="229">
        <f t="shared" si="2"/>
        <v>4.4333333333333336E-2</v>
      </c>
      <c r="S20" s="100">
        <f t="shared" si="3"/>
        <v>1.0009822398246855</v>
      </c>
    </row>
    <row r="21" spans="1:19" x14ac:dyDescent="0.25">
      <c r="A21" s="121">
        <v>11</v>
      </c>
      <c r="B21" s="101">
        <v>11</v>
      </c>
      <c r="C21" s="123">
        <f t="shared" si="0"/>
        <v>0.40544444444444427</v>
      </c>
      <c r="Q21" s="100">
        <f t="shared" si="1"/>
        <v>1</v>
      </c>
      <c r="R21" s="229">
        <f t="shared" si="2"/>
        <v>4.8555555555555463E-2</v>
      </c>
      <c r="S21" s="100">
        <f t="shared" si="3"/>
        <v>1.0011781269960449</v>
      </c>
    </row>
    <row r="22" spans="1:19" x14ac:dyDescent="0.25">
      <c r="A22" s="121">
        <v>12</v>
      </c>
      <c r="B22" s="101">
        <v>12</v>
      </c>
      <c r="C22" s="123">
        <f t="shared" si="0"/>
        <v>0.45399999999999974</v>
      </c>
      <c r="Q22" s="100">
        <f t="shared" si="1"/>
        <v>1</v>
      </c>
      <c r="R22" s="229">
        <f t="shared" si="2"/>
        <v>5.2777777777777812E-2</v>
      </c>
      <c r="S22" s="100">
        <f t="shared" si="3"/>
        <v>1.0013917783900368</v>
      </c>
    </row>
    <row r="23" spans="1:19" x14ac:dyDescent="0.25">
      <c r="A23" s="121">
        <v>13</v>
      </c>
      <c r="B23" s="101">
        <v>13</v>
      </c>
      <c r="C23" s="123">
        <f t="shared" si="0"/>
        <v>0.50677777777777755</v>
      </c>
      <c r="Q23" s="100">
        <f t="shared" si="1"/>
        <v>1</v>
      </c>
      <c r="R23" s="229">
        <f t="shared" si="2"/>
        <v>5.699999999999994E-2</v>
      </c>
      <c r="S23" s="100">
        <f t="shared" si="3"/>
        <v>1.0016231826390602</v>
      </c>
    </row>
    <row r="24" spans="1:19" x14ac:dyDescent="0.25">
      <c r="A24" s="121">
        <v>14</v>
      </c>
      <c r="B24" s="101">
        <v>14</v>
      </c>
      <c r="C24" s="123">
        <f t="shared" si="0"/>
        <v>0.56377777777777749</v>
      </c>
      <c r="Q24" s="100">
        <f t="shared" si="1"/>
        <v>1</v>
      </c>
      <c r="R24" s="229">
        <f t="shared" si="2"/>
        <v>6.1222222222222178E-2</v>
      </c>
      <c r="S24" s="100">
        <f t="shared" si="3"/>
        <v>1.0018723274418888</v>
      </c>
    </row>
    <row r="25" spans="1:19" ht="16.5" thickBot="1" x14ac:dyDescent="0.3">
      <c r="A25" s="122">
        <v>15</v>
      </c>
      <c r="B25" s="124">
        <v>15</v>
      </c>
      <c r="C25" s="125">
        <f t="shared" si="0"/>
        <v>0.62499999999999967</v>
      </c>
      <c r="Q25" s="100"/>
      <c r="R25" s="229"/>
      <c r="S25" s="100">
        <f>2*SUM(S10:S24)</f>
        <v>30.020021266621452</v>
      </c>
    </row>
    <row r="26" spans="1:19" x14ac:dyDescent="0.25">
      <c r="Q26" s="100"/>
      <c r="R26" s="229"/>
      <c r="S26" s="100"/>
    </row>
    <row r="27" spans="1:19" ht="16.5" thickBot="1" x14ac:dyDescent="0.3">
      <c r="F27" s="40"/>
      <c r="G27" s="40"/>
      <c r="Q27" s="100"/>
      <c r="R27" s="229"/>
      <c r="S27" s="100"/>
    </row>
    <row r="28" spans="1:19" x14ac:dyDescent="0.25">
      <c r="A28" s="434" t="s">
        <v>68</v>
      </c>
      <c r="B28" s="435"/>
      <c r="C28" s="435"/>
      <c r="D28" s="435"/>
      <c r="E28" s="436"/>
      <c r="F28" s="40"/>
      <c r="G28" s="40"/>
      <c r="Q28" s="100"/>
      <c r="R28" s="229"/>
      <c r="S28" s="100"/>
    </row>
    <row r="29" spans="1:19" x14ac:dyDescent="0.25">
      <c r="A29" s="409" t="s">
        <v>61</v>
      </c>
      <c r="B29" s="410"/>
      <c r="C29" s="410"/>
      <c r="D29" s="411" t="s">
        <v>132</v>
      </c>
      <c r="E29" s="412"/>
      <c r="F29" s="40"/>
      <c r="G29" s="40"/>
      <c r="Q29" s="100"/>
      <c r="R29" s="229"/>
      <c r="S29" s="100"/>
    </row>
    <row r="30" spans="1:19" x14ac:dyDescent="0.25">
      <c r="A30" s="409" t="s">
        <v>65</v>
      </c>
      <c r="B30" s="410"/>
      <c r="C30" s="410"/>
      <c r="D30" s="130">
        <f>'2-تحديد الحمولات'!F9*1000000/(0.8*('1- تحديد الأبعاد الأولية'!D19-'3- مسار الكابل'!B6)*0.7*'0- المعطيات'!I24*1000)</f>
        <v>2947.6126336950429</v>
      </c>
      <c r="E30" s="307" t="s">
        <v>62</v>
      </c>
      <c r="F30" s="40"/>
      <c r="Q30" s="100"/>
      <c r="R30" s="229"/>
      <c r="S30" s="100"/>
    </row>
    <row r="31" spans="1:19" x14ac:dyDescent="0.25">
      <c r="A31" s="409" t="s">
        <v>63</v>
      </c>
      <c r="B31" s="410"/>
      <c r="C31" s="410"/>
      <c r="D31" s="54">
        <v>140</v>
      </c>
      <c r="E31" s="307" t="s">
        <v>62</v>
      </c>
      <c r="F31" s="40"/>
      <c r="G31" s="40"/>
    </row>
    <row r="32" spans="1:19" x14ac:dyDescent="0.25">
      <c r="A32" s="409" t="s">
        <v>64</v>
      </c>
      <c r="B32" s="410"/>
      <c r="C32" s="410"/>
      <c r="D32" s="130">
        <f>D30/D31</f>
        <v>21.054375954964591</v>
      </c>
      <c r="E32" s="307" t="s">
        <v>62</v>
      </c>
      <c r="F32" s="40"/>
      <c r="G32" s="40"/>
    </row>
    <row r="33" spans="1:13" x14ac:dyDescent="0.25">
      <c r="A33" s="409" t="s">
        <v>66</v>
      </c>
      <c r="B33" s="410"/>
      <c r="C33" s="410"/>
      <c r="D33" s="423">
        <v>6</v>
      </c>
      <c r="E33" s="424"/>
      <c r="F33" s="40"/>
      <c r="G33" s="40"/>
    </row>
    <row r="34" spans="1:13" s="40" customFormat="1" x14ac:dyDescent="0.25">
      <c r="A34" s="420" t="s">
        <v>166</v>
      </c>
      <c r="B34" s="421"/>
      <c r="C34" s="422"/>
      <c r="D34" s="423">
        <v>4</v>
      </c>
      <c r="E34" s="424"/>
    </row>
    <row r="35" spans="1:13" ht="16.5" thickBot="1" x14ac:dyDescent="0.3">
      <c r="A35" s="418" t="s">
        <v>67</v>
      </c>
      <c r="B35" s="419"/>
      <c r="C35" s="419"/>
      <c r="D35" s="425">
        <f>D34*D33</f>
        <v>24</v>
      </c>
      <c r="E35" s="426"/>
      <c r="F35" s="40"/>
      <c r="G35" s="40"/>
    </row>
    <row r="36" spans="1:13" x14ac:dyDescent="0.25">
      <c r="E36" s="41"/>
      <c r="F36" s="41"/>
    </row>
    <row r="38" spans="1:13" x14ac:dyDescent="0.25">
      <c r="F38" s="417"/>
      <c r="G38" s="417"/>
      <c r="H38" s="417"/>
      <c r="I38" s="417"/>
      <c r="J38" s="18"/>
      <c r="K38" s="18"/>
      <c r="L38" s="18"/>
      <c r="M38" s="18"/>
    </row>
    <row r="39" spans="1:13" x14ac:dyDescent="0.25">
      <c r="F39" s="19"/>
      <c r="G39" s="19"/>
      <c r="H39" s="20"/>
      <c r="I39" s="19"/>
      <c r="J39" s="18"/>
      <c r="K39" s="18"/>
      <c r="L39" s="18"/>
      <c r="M39" s="18"/>
    </row>
    <row r="40" spans="1:13" x14ac:dyDescent="0.25">
      <c r="F40" s="19"/>
      <c r="G40" s="19"/>
      <c r="H40" s="21"/>
      <c r="I40" s="19"/>
      <c r="J40" s="18"/>
      <c r="K40" s="18"/>
      <c r="L40" s="18"/>
      <c r="M40" s="18"/>
    </row>
    <row r="41" spans="1:13" x14ac:dyDescent="0.25">
      <c r="F41" s="19"/>
      <c r="G41" s="20"/>
      <c r="H41" s="20"/>
      <c r="I41" s="19"/>
      <c r="J41" s="18"/>
      <c r="K41" s="18"/>
      <c r="L41" s="18"/>
      <c r="M41" s="18"/>
    </row>
    <row r="42" spans="1:13" x14ac:dyDescent="0.25">
      <c r="F42" s="19"/>
      <c r="G42" s="19"/>
      <c r="H42" s="20"/>
      <c r="I42" s="19"/>
      <c r="J42" s="18"/>
      <c r="K42" s="18"/>
      <c r="L42" s="18"/>
      <c r="M42" s="18"/>
    </row>
    <row r="43" spans="1:13" x14ac:dyDescent="0.25">
      <c r="F43" s="19"/>
      <c r="G43" s="19"/>
      <c r="H43" s="22"/>
      <c r="I43" s="19"/>
      <c r="J43" s="18"/>
      <c r="K43" s="18"/>
      <c r="L43" s="18"/>
      <c r="M43" s="18"/>
    </row>
    <row r="44" spans="1:13" x14ac:dyDescent="0.25">
      <c r="F44" s="19"/>
      <c r="G44" s="19"/>
      <c r="H44" s="23"/>
      <c r="I44" s="19"/>
      <c r="J44" s="18"/>
      <c r="K44" s="18"/>
      <c r="L44" s="18"/>
      <c r="M44" s="18"/>
    </row>
    <row r="45" spans="1:13" x14ac:dyDescent="0.25">
      <c r="F45" s="19"/>
      <c r="G45" s="19"/>
      <c r="H45" s="21"/>
      <c r="I45" s="19"/>
      <c r="J45" s="18"/>
      <c r="K45" s="18"/>
      <c r="L45" s="18"/>
      <c r="M45" s="18"/>
    </row>
  </sheetData>
  <mergeCells count="20">
    <mergeCell ref="E2:G2"/>
    <mergeCell ref="A1:G1"/>
    <mergeCell ref="C6:D6"/>
    <mergeCell ref="F5:G5"/>
    <mergeCell ref="A28:E28"/>
    <mergeCell ref="F38:I38"/>
    <mergeCell ref="A33:C33"/>
    <mergeCell ref="A32:C32"/>
    <mergeCell ref="A35:C35"/>
    <mergeCell ref="A34:C34"/>
    <mergeCell ref="D33:E33"/>
    <mergeCell ref="D34:E34"/>
    <mergeCell ref="D35:E35"/>
    <mergeCell ref="A31:C31"/>
    <mergeCell ref="A30:C30"/>
    <mergeCell ref="A29:C29"/>
    <mergeCell ref="D29:E29"/>
    <mergeCell ref="E3:G3"/>
    <mergeCell ref="A3:D3"/>
    <mergeCell ref="B4:D4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35"/>
  <sheetViews>
    <sheetView showGridLines="0" tabSelected="1" zoomScale="80" zoomScaleNormal="80" workbookViewId="0">
      <selection activeCell="J23" sqref="J23"/>
    </sheetView>
  </sheetViews>
  <sheetFormatPr defaultColWidth="9" defaultRowHeight="20.25" x14ac:dyDescent="0.25"/>
  <cols>
    <col min="1" max="1" width="9" style="24"/>
    <col min="2" max="2" width="11.28515625" style="24" bestFit="1" customWidth="1"/>
    <col min="3" max="3" width="12.42578125" style="24" customWidth="1"/>
    <col min="4" max="4" width="10.140625" style="24" customWidth="1"/>
    <col min="5" max="5" width="20.42578125" style="24" bestFit="1" customWidth="1"/>
    <col min="6" max="6" width="14.140625" style="24" bestFit="1" customWidth="1"/>
    <col min="7" max="7" width="12.140625" style="24" bestFit="1" customWidth="1"/>
    <col min="8" max="8" width="13.28515625" style="24" bestFit="1" customWidth="1"/>
    <col min="9" max="9" width="4.85546875" style="24" bestFit="1" customWidth="1"/>
    <col min="10" max="10" width="12.140625" style="24" bestFit="1" customWidth="1"/>
    <col min="11" max="11" width="9" style="24"/>
    <col min="12" max="12" width="12.42578125" style="24" bestFit="1" customWidth="1"/>
    <col min="13" max="16384" width="9" style="24"/>
  </cols>
  <sheetData>
    <row r="1" spans="1:13" ht="21" thickBot="1" x14ac:dyDescent="0.3">
      <c r="A1" s="43"/>
      <c r="B1" s="43"/>
      <c r="C1" s="43"/>
      <c r="D1" s="43"/>
      <c r="E1" s="437" t="s">
        <v>147</v>
      </c>
      <c r="F1" s="438"/>
      <c r="G1" s="438"/>
      <c r="H1" s="438"/>
      <c r="I1" s="438"/>
      <c r="J1" s="438"/>
      <c r="K1" s="439"/>
      <c r="M1" s="43"/>
    </row>
    <row r="2" spans="1:13" ht="21" thickBot="1" x14ac:dyDescent="0.3">
      <c r="A2" s="440" t="s">
        <v>275</v>
      </c>
      <c r="B2" s="441"/>
      <c r="C2" s="159">
        <f>VLOOKUP(MAX('1- تحديد الأبعاد الأولية'!A15:A30),'1- تحديد الأبعاد الأولية'!A15:S29,11,FALSE)</f>
        <v>0.89965753424657513</v>
      </c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1:13" ht="21" thickBot="1" x14ac:dyDescent="0.3">
      <c r="A3" s="458" t="s">
        <v>276</v>
      </c>
      <c r="B3" s="459"/>
      <c r="C3" s="160">
        <f>VLOOKUP(MAX('1- تحديد الأبعاد الأولية'!A16:A31),'1- تحديد الأبعاد الأولية'!A16:S30,15,FALSE)</f>
        <v>0.22599999999999992</v>
      </c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22.5" thickBot="1" x14ac:dyDescent="0.3">
      <c r="A4" s="440" t="s">
        <v>288</v>
      </c>
      <c r="B4" s="442"/>
      <c r="C4" s="172" t="s">
        <v>274</v>
      </c>
      <c r="D4" s="162">
        <f>VLOOKUP(MAX('1- تحديد الأبعاد الأولية'!A19:A34),'1- تحديد الأبعاد الأولية'!A19:S33,11,FALSE)-VLOOKUP(MAX('1- تحديد الأبعاد الأولية'!A19:A34),'1- تحديد الأبعاد الأولية'!A19:S33,15,FALSE)</f>
        <v>0.67365753424657515</v>
      </c>
      <c r="E4" s="43"/>
      <c r="F4" s="43"/>
      <c r="G4" s="43"/>
      <c r="H4" s="43"/>
      <c r="I4" s="43"/>
      <c r="J4" s="43"/>
      <c r="K4" s="43"/>
      <c r="L4" s="43"/>
      <c r="M4" s="43"/>
    </row>
    <row r="5" spans="1:13" ht="21" thickBot="1" x14ac:dyDescent="0.3">
      <c r="A5" s="440" t="s">
        <v>277</v>
      </c>
      <c r="B5" s="441"/>
      <c r="C5" s="161">
        <f>VLOOKUP(MAX('1- تحديد الأبعاد الأولية'!A19:A34),'1- تحديد الأبعاد الأولية'!A19:S33,13,FALSE)</f>
        <v>0.23553448152902573</v>
      </c>
      <c r="D5" s="43"/>
      <c r="E5" s="43"/>
      <c r="F5" s="43"/>
      <c r="G5" s="43"/>
      <c r="H5" s="43"/>
      <c r="I5" s="43"/>
      <c r="J5" s="43"/>
      <c r="K5" s="43"/>
      <c r="L5" s="43"/>
      <c r="M5" s="43"/>
    </row>
    <row r="6" spans="1:13" ht="21" thickBot="1" x14ac:dyDescent="0.3">
      <c r="A6" s="440" t="s">
        <v>278</v>
      </c>
      <c r="B6" s="441"/>
      <c r="C6" s="161">
        <f>VLOOKUP(MAX('1- تحديد الأبعاد الأولية'!A20:A35),'1- تحديد الأبعاد الأولية'!A20:S34,14,FALSE)</f>
        <v>0.20953333967770582</v>
      </c>
      <c r="D6" s="43"/>
      <c r="E6" s="43"/>
      <c r="F6" s="43"/>
      <c r="G6" s="43"/>
      <c r="H6" s="43"/>
      <c r="I6" s="43"/>
      <c r="J6" s="43"/>
      <c r="K6" s="43"/>
      <c r="L6" s="43"/>
      <c r="M6" s="43"/>
    </row>
    <row r="7" spans="1:13" ht="21" thickBot="1" x14ac:dyDescent="0.3">
      <c r="A7" s="440" t="s">
        <v>279</v>
      </c>
      <c r="B7" s="441"/>
      <c r="C7" s="161">
        <f>VLOOKUP(MAX('1- تحديد الأبعاد الأولية'!A21:A36),'1- تحديد الأبعاد الأولية'!A21:O35,9,FALSE)</f>
        <v>0.73</v>
      </c>
      <c r="D7" s="43"/>
      <c r="E7" s="43"/>
      <c r="F7" s="43"/>
      <c r="G7" s="43"/>
      <c r="H7" s="43"/>
      <c r="I7" s="43"/>
      <c r="J7" s="43"/>
      <c r="K7" s="43"/>
      <c r="L7" s="43"/>
      <c r="M7" s="43"/>
    </row>
    <row r="8" spans="1:13" ht="21" thickBot="1" x14ac:dyDescent="0.3">
      <c r="A8" s="440" t="s">
        <v>131</v>
      </c>
      <c r="B8" s="441"/>
      <c r="C8" s="161">
        <f>VLOOKUP(MAX('1- تحديد الأبعاد الأولية'!A21:A36),'1- تحديد الأبعاد الأولية'!A21:S35,16,FALSE)</f>
        <v>1737.9140625000005</v>
      </c>
      <c r="D8" s="43"/>
      <c r="E8" s="43"/>
      <c r="F8" s="43"/>
      <c r="G8" s="43"/>
      <c r="H8" s="43"/>
      <c r="I8" s="43"/>
      <c r="J8" s="43"/>
      <c r="K8" s="43"/>
      <c r="L8" s="43"/>
      <c r="M8" s="43"/>
    </row>
    <row r="9" spans="1:13" ht="21" thickBot="1" x14ac:dyDescent="0.3">
      <c r="A9" s="440" t="s">
        <v>128</v>
      </c>
      <c r="B9" s="441"/>
      <c r="C9" s="161">
        <f>VLOOKUP(MAX('1- تحديد الأبعاد الأولية'!A22:A37),'1- تحديد الأبعاد الأولية'!A22:S36,19,FALSE)</f>
        <v>3816.9140625000005</v>
      </c>
      <c r="D9" s="43"/>
      <c r="E9" s="43"/>
      <c r="F9" s="43"/>
      <c r="G9" s="102"/>
      <c r="H9" s="102"/>
      <c r="I9" s="43"/>
      <c r="J9" s="43"/>
      <c r="K9" s="43"/>
      <c r="M9" s="43"/>
    </row>
    <row r="10" spans="1:13" ht="21" thickBot="1" x14ac:dyDescent="0.3">
      <c r="A10" s="43"/>
      <c r="B10" s="43"/>
      <c r="C10" s="43"/>
      <c r="D10" s="43"/>
      <c r="E10" s="43"/>
      <c r="G10" s="102"/>
      <c r="H10" s="158" t="s">
        <v>155</v>
      </c>
      <c r="I10" s="43"/>
      <c r="J10" s="43"/>
      <c r="K10" s="43"/>
      <c r="L10" s="43"/>
      <c r="M10" s="43"/>
    </row>
    <row r="11" spans="1:13" ht="21.75" thickBot="1" x14ac:dyDescent="0.3">
      <c r="A11" s="452" t="s">
        <v>289</v>
      </c>
      <c r="B11" s="441"/>
      <c r="C11" s="161">
        <f>0.9/0.7</f>
        <v>1.2857142857142858</v>
      </c>
      <c r="D11" s="43"/>
      <c r="E11" s="43"/>
      <c r="F11" s="43"/>
      <c r="G11" s="43"/>
      <c r="H11" s="43"/>
      <c r="I11" s="43"/>
      <c r="J11" s="43"/>
      <c r="K11" s="43"/>
      <c r="L11" s="43"/>
      <c r="M11" s="43"/>
    </row>
    <row r="12" spans="1:13" ht="21" thickBot="1" x14ac:dyDescent="0.3">
      <c r="A12" s="173" t="s">
        <v>281</v>
      </c>
      <c r="B12" s="163">
        <f>C11</f>
        <v>1.2857142857142858</v>
      </c>
      <c r="C12" s="164" t="s">
        <v>280</v>
      </c>
      <c r="D12" s="43"/>
      <c r="E12" s="43"/>
      <c r="F12" s="43"/>
      <c r="G12" s="43"/>
      <c r="H12" s="43"/>
      <c r="I12" s="43"/>
      <c r="J12" s="43"/>
      <c r="K12" s="43"/>
      <c r="L12" s="43"/>
      <c r="M12" s="43"/>
    </row>
    <row r="13" spans="1:13" ht="21" thickBot="1" x14ac:dyDescent="0.3">
      <c r="G13" s="450" t="s">
        <v>150</v>
      </c>
      <c r="H13" s="451"/>
    </row>
    <row r="14" spans="1:13" ht="21" thickBot="1" x14ac:dyDescent="0.3">
      <c r="J14" s="443" t="s">
        <v>151</v>
      </c>
      <c r="K14" s="444"/>
    </row>
    <row r="15" spans="1:13" ht="22.5" thickBot="1" x14ac:dyDescent="0.3">
      <c r="A15" s="445" t="s">
        <v>152</v>
      </c>
      <c r="B15" s="446"/>
      <c r="C15" s="446"/>
      <c r="D15" s="446"/>
      <c r="E15" s="447"/>
      <c r="F15" s="168" t="s">
        <v>153</v>
      </c>
      <c r="G15" s="174" t="s">
        <v>149</v>
      </c>
      <c r="H15" s="349">
        <f>-J15*C11/C7+C11*D4*J15/C5-C8/C5-'0- المعطيات'!I28*1000</f>
        <v>9.9999397207284346E-7</v>
      </c>
      <c r="I15" s="165" t="s">
        <v>154</v>
      </c>
      <c r="J15" s="166">
        <v>5938.5754622908298</v>
      </c>
      <c r="K15" s="167" t="s">
        <v>162</v>
      </c>
    </row>
    <row r="16" spans="1:13" ht="21" thickBot="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43" t="s">
        <v>157</v>
      </c>
      <c r="K16" s="444"/>
    </row>
    <row r="17" spans="1:12" ht="22.5" thickBot="1" x14ac:dyDescent="0.3">
      <c r="A17" s="445" t="s">
        <v>290</v>
      </c>
      <c r="B17" s="448"/>
      <c r="C17" s="448"/>
      <c r="D17" s="448"/>
      <c r="E17" s="449"/>
      <c r="F17" s="168" t="s">
        <v>153</v>
      </c>
      <c r="G17" s="174" t="s">
        <v>149</v>
      </c>
      <c r="H17" s="349">
        <f>-J17*C11/C7-C11*D4*J17/C6+C8/C6-'0- المعطيات'!I27*1000</f>
        <v>0</v>
      </c>
      <c r="I17" s="165" t="s">
        <v>154</v>
      </c>
      <c r="J17" s="166">
        <v>4460.5230559985002</v>
      </c>
      <c r="K17" s="167" t="s">
        <v>162</v>
      </c>
    </row>
    <row r="18" spans="1:12" ht="21" thickBot="1" x14ac:dyDescent="0.3"/>
    <row r="19" spans="1:12" ht="21" thickBot="1" x14ac:dyDescent="0.3">
      <c r="A19" s="43"/>
      <c r="B19" s="43"/>
      <c r="C19" s="43"/>
      <c r="D19" s="43"/>
      <c r="E19" s="43"/>
      <c r="F19" s="43"/>
      <c r="G19" s="450" t="s">
        <v>158</v>
      </c>
      <c r="H19" s="451"/>
      <c r="I19" s="43"/>
      <c r="J19" s="43"/>
    </row>
    <row r="20" spans="1:12" ht="21" thickBot="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43" t="s">
        <v>159</v>
      </c>
      <c r="K20" s="444"/>
      <c r="L20" s="43"/>
    </row>
    <row r="21" spans="1:12" ht="22.5" thickBot="1" x14ac:dyDescent="0.3">
      <c r="A21" s="445" t="s">
        <v>160</v>
      </c>
      <c r="B21" s="448"/>
      <c r="C21" s="448"/>
      <c r="D21" s="448"/>
      <c r="E21" s="449"/>
      <c r="F21" s="168" t="s">
        <v>153</v>
      </c>
      <c r="G21" s="174" t="s">
        <v>149</v>
      </c>
      <c r="H21" s="349">
        <f>-J21/C7+D4*J21/C5-C9/C5-'0- المعطيات'!I29*1000</f>
        <v>0</v>
      </c>
      <c r="I21" s="165" t="s">
        <v>161</v>
      </c>
      <c r="J21" s="166">
        <v>137.78152840266199</v>
      </c>
      <c r="K21" s="167" t="s">
        <v>162</v>
      </c>
      <c r="L21" s="43"/>
    </row>
    <row r="22" spans="1:12" ht="21" thickBot="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43" t="s">
        <v>163</v>
      </c>
      <c r="K22" s="444"/>
      <c r="L22" s="43"/>
    </row>
    <row r="23" spans="1:12" ht="22.5" thickBot="1" x14ac:dyDescent="0.3">
      <c r="A23" s="445" t="s">
        <v>291</v>
      </c>
      <c r="B23" s="448"/>
      <c r="C23" s="448"/>
      <c r="D23" s="448"/>
      <c r="E23" s="449"/>
      <c r="F23" s="168" t="s">
        <v>153</v>
      </c>
      <c r="G23" s="174" t="s">
        <v>149</v>
      </c>
      <c r="H23" s="349">
        <f>-J23/C7-D4*J23/C6+C9/C6-'0- المعطيات'!I30*1000</f>
        <v>0</v>
      </c>
      <c r="I23" s="165" t="s">
        <v>161</v>
      </c>
      <c r="J23" s="166">
        <v>3427.8304190280301</v>
      </c>
      <c r="K23" s="167" t="s">
        <v>162</v>
      </c>
      <c r="L23" s="43"/>
    </row>
    <row r="24" spans="1:12" ht="21" thickBot="1" x14ac:dyDescent="0.3"/>
    <row r="25" spans="1:12" ht="21" thickBot="1" x14ac:dyDescent="0.3">
      <c r="A25" s="169">
        <f>MAX(J21,J23)</f>
        <v>3427.8304190280301</v>
      </c>
      <c r="B25" s="163" t="s">
        <v>154</v>
      </c>
      <c r="C25" s="170" t="s">
        <v>149</v>
      </c>
      <c r="D25" s="163" t="s">
        <v>154</v>
      </c>
      <c r="E25" s="164">
        <f>MIN(J15,J17)</f>
        <v>4460.5230559985002</v>
      </c>
      <c r="G25" s="55"/>
      <c r="H25" s="55"/>
      <c r="I25" s="55"/>
    </row>
    <row r="26" spans="1:12" ht="21" thickBot="1" x14ac:dyDescent="0.3">
      <c r="A26" s="175" t="s">
        <v>282</v>
      </c>
      <c r="B26" s="176">
        <f>A25</f>
        <v>3427.8304190280301</v>
      </c>
      <c r="C26" s="177" t="s">
        <v>162</v>
      </c>
      <c r="G26" s="55"/>
      <c r="H26" s="55"/>
      <c r="I26" s="55"/>
    </row>
    <row r="27" spans="1:12" ht="21" thickBot="1" x14ac:dyDescent="0.3">
      <c r="A27" s="175" t="s">
        <v>281</v>
      </c>
      <c r="B27" s="176">
        <f>B26*C11</f>
        <v>4407.2105387503243</v>
      </c>
      <c r="C27" s="177" t="s">
        <v>162</v>
      </c>
      <c r="G27" s="55"/>
      <c r="H27" s="55"/>
      <c r="I27" s="55"/>
    </row>
    <row r="28" spans="1:12" ht="23.25" thickBot="1" x14ac:dyDescent="0.3">
      <c r="A28" s="440" t="s">
        <v>292</v>
      </c>
      <c r="B28" s="442"/>
      <c r="C28" s="178" t="s">
        <v>164</v>
      </c>
      <c r="D28" s="163">
        <f>B26/0.7/'0- المعطيات'!I24*1000</f>
        <v>3290.9278216474945</v>
      </c>
      <c r="E28" s="164" t="s">
        <v>165</v>
      </c>
      <c r="G28" s="55"/>
      <c r="H28" s="55"/>
      <c r="I28" s="55"/>
    </row>
    <row r="29" spans="1:12" ht="21" thickBot="1" x14ac:dyDescent="0.3">
      <c r="A29" s="454" t="s">
        <v>283</v>
      </c>
      <c r="B29" s="455"/>
      <c r="C29" s="161">
        <f>D28/'3- مسار الكابل'!D31</f>
        <v>23.506627297482105</v>
      </c>
      <c r="D29" s="43"/>
      <c r="E29" s="43"/>
      <c r="F29" s="43"/>
      <c r="G29" s="55"/>
      <c r="H29" s="55"/>
      <c r="I29" s="55"/>
    </row>
    <row r="30" spans="1:12" ht="21" thickBot="1" x14ac:dyDescent="0.3">
      <c r="A30" s="442" t="s">
        <v>284</v>
      </c>
      <c r="B30" s="441"/>
      <c r="C30" s="45">
        <v>24</v>
      </c>
      <c r="D30" s="43"/>
      <c r="E30" s="43"/>
      <c r="G30" s="55"/>
      <c r="H30" s="55"/>
      <c r="I30" s="55"/>
    </row>
    <row r="31" spans="1:12" ht="21" thickBot="1" x14ac:dyDescent="0.3">
      <c r="A31" s="378" t="s">
        <v>66</v>
      </c>
      <c r="B31" s="379"/>
      <c r="C31" s="45">
        <v>6</v>
      </c>
      <c r="D31" s="43"/>
      <c r="E31" s="43"/>
      <c r="F31" s="43"/>
      <c r="G31" s="43"/>
    </row>
    <row r="32" spans="1:12" ht="21" thickBot="1" x14ac:dyDescent="0.3">
      <c r="A32" s="378" t="s">
        <v>166</v>
      </c>
      <c r="B32" s="379"/>
      <c r="C32" s="46">
        <v>4</v>
      </c>
      <c r="D32" s="43"/>
      <c r="E32" s="43"/>
      <c r="F32" s="43"/>
      <c r="G32" s="43"/>
    </row>
    <row r="33" spans="1:10" ht="21" thickBot="1" x14ac:dyDescent="0.3">
      <c r="A33" s="456" t="s">
        <v>67</v>
      </c>
      <c r="B33" s="457"/>
      <c r="C33" s="161">
        <f>C32*C31</f>
        <v>24</v>
      </c>
      <c r="D33" s="43"/>
      <c r="E33" s="43"/>
      <c r="F33" s="43"/>
      <c r="G33" s="43"/>
    </row>
    <row r="34" spans="1:10" ht="23.25" thickBot="1" x14ac:dyDescent="0.3">
      <c r="A34" s="440" t="s">
        <v>167</v>
      </c>
      <c r="B34" s="441"/>
      <c r="C34" s="169">
        <f>C33*'3- مسار الكابل'!D31</f>
        <v>3360</v>
      </c>
      <c r="D34" s="164" t="s">
        <v>165</v>
      </c>
      <c r="E34" s="104" t="s">
        <v>153</v>
      </c>
      <c r="F34" s="179" t="s">
        <v>285</v>
      </c>
      <c r="G34" s="453">
        <f>C34*'0- المعطيات'!I24*0.7/1000</f>
        <v>3499.7759999999998</v>
      </c>
      <c r="H34" s="453"/>
      <c r="I34" s="105" t="s">
        <v>162</v>
      </c>
      <c r="J34" s="180" t="str">
        <f>IF(G34&gt;=A25,IF(G34&lt;=E25,"محقق","غير محقق"),"غير محقق")</f>
        <v>محقق</v>
      </c>
    </row>
    <row r="35" spans="1:10" ht="21" thickBot="1" x14ac:dyDescent="0.3">
      <c r="F35" s="179" t="s">
        <v>286</v>
      </c>
      <c r="G35" s="453">
        <f>G34*C11</f>
        <v>4499.7120000000004</v>
      </c>
      <c r="H35" s="453"/>
      <c r="I35" s="105" t="s">
        <v>162</v>
      </c>
      <c r="J35" s="53"/>
    </row>
  </sheetData>
  <mergeCells count="29">
    <mergeCell ref="A23:E23"/>
    <mergeCell ref="A7:B7"/>
    <mergeCell ref="A2:B2"/>
    <mergeCell ref="A3:B3"/>
    <mergeCell ref="A5:B5"/>
    <mergeCell ref="G34:H34"/>
    <mergeCell ref="G35:H35"/>
    <mergeCell ref="A34:B34"/>
    <mergeCell ref="A28:B28"/>
    <mergeCell ref="A29:B29"/>
    <mergeCell ref="A30:B30"/>
    <mergeCell ref="A31:B31"/>
    <mergeCell ref="A32:B32"/>
    <mergeCell ref="A33:B33"/>
    <mergeCell ref="E1:K1"/>
    <mergeCell ref="A6:B6"/>
    <mergeCell ref="A4:B4"/>
    <mergeCell ref="J22:K22"/>
    <mergeCell ref="A8:B8"/>
    <mergeCell ref="A9:B9"/>
    <mergeCell ref="J14:K14"/>
    <mergeCell ref="A15:E15"/>
    <mergeCell ref="J16:K16"/>
    <mergeCell ref="A17:E17"/>
    <mergeCell ref="G19:H19"/>
    <mergeCell ref="J20:K20"/>
    <mergeCell ref="A21:E21"/>
    <mergeCell ref="A11:B11"/>
    <mergeCell ref="G13:H13"/>
  </mergeCells>
  <printOptions horizontalCentered="1" verticalCentered="1"/>
  <pageMargins left="0.7" right="0.7" top="0.75" bottom="0.75" header="0.3" footer="0.3"/>
  <pageSetup paperSize="9" scale="67" fitToHeight="0" orientation="portrait" horizontalDpi="1200" verticalDpi="120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19"/>
  <sheetViews>
    <sheetView showGridLines="0" zoomScale="70" zoomScaleNormal="70" workbookViewId="0">
      <selection sqref="A1:Q19"/>
    </sheetView>
  </sheetViews>
  <sheetFormatPr defaultColWidth="9" defaultRowHeight="15.75" x14ac:dyDescent="0.25"/>
  <cols>
    <col min="1" max="2" width="9" style="10"/>
    <col min="3" max="3" width="14" style="10" customWidth="1"/>
    <col min="4" max="4" width="13.5703125" style="10" customWidth="1"/>
    <col min="5" max="6" width="12.7109375" style="10" customWidth="1"/>
    <col min="7" max="7" width="11" style="10" customWidth="1"/>
    <col min="8" max="8" width="12" style="10" customWidth="1"/>
    <col min="9" max="9" width="16.28515625" style="40" bestFit="1" customWidth="1"/>
    <col min="10" max="10" width="12.7109375" style="10" customWidth="1"/>
    <col min="11" max="11" width="10.28515625" style="10" customWidth="1"/>
    <col min="12" max="12" width="14.28515625" style="10" customWidth="1"/>
    <col min="13" max="13" width="10.140625" style="10" customWidth="1"/>
    <col min="14" max="14" width="12" style="10" customWidth="1"/>
    <col min="15" max="15" width="10.42578125" style="10" customWidth="1"/>
    <col min="16" max="16" width="14.140625" style="10" customWidth="1"/>
    <col min="17" max="17" width="12.42578125" style="10" customWidth="1"/>
    <col min="18" max="16384" width="9" style="10"/>
  </cols>
  <sheetData>
    <row r="1" spans="1:17" s="100" customFormat="1" ht="26.25" customHeight="1" thickBot="1" x14ac:dyDescent="0.3">
      <c r="A1" s="460" t="s">
        <v>294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  <c r="N1" s="461"/>
      <c r="O1" s="461"/>
      <c r="P1" s="461"/>
      <c r="Q1" s="462"/>
    </row>
    <row r="2" spans="1:17" ht="20.25" customHeight="1" x14ac:dyDescent="0.25">
      <c r="A2" s="463" t="s">
        <v>28</v>
      </c>
      <c r="B2" s="465" t="s">
        <v>133</v>
      </c>
      <c r="C2" s="465" t="s">
        <v>168</v>
      </c>
      <c r="D2" s="465" t="s">
        <v>169</v>
      </c>
      <c r="E2" s="465" t="s">
        <v>170</v>
      </c>
      <c r="F2" s="465" t="s">
        <v>171</v>
      </c>
      <c r="G2" s="465" t="s">
        <v>172</v>
      </c>
      <c r="H2" s="465" t="s">
        <v>131</v>
      </c>
      <c r="I2" s="471" t="s">
        <v>128</v>
      </c>
      <c r="J2" s="467" t="s">
        <v>134</v>
      </c>
      <c r="K2" s="468"/>
      <c r="L2" s="468"/>
      <c r="M2" s="469"/>
      <c r="N2" s="467" t="s">
        <v>135</v>
      </c>
      <c r="O2" s="468"/>
      <c r="P2" s="468"/>
      <c r="Q2" s="470"/>
    </row>
    <row r="3" spans="1:17" ht="40.5" x14ac:dyDescent="0.25">
      <c r="A3" s="464"/>
      <c r="B3" s="466"/>
      <c r="C3" s="466"/>
      <c r="D3" s="466"/>
      <c r="E3" s="466"/>
      <c r="F3" s="466"/>
      <c r="G3" s="466"/>
      <c r="H3" s="466"/>
      <c r="I3" s="472"/>
      <c r="J3" s="181" t="s">
        <v>136</v>
      </c>
      <c r="K3" s="182" t="s">
        <v>137</v>
      </c>
      <c r="L3" s="181" t="s">
        <v>138</v>
      </c>
      <c r="M3" s="182" t="s">
        <v>137</v>
      </c>
      <c r="N3" s="181" t="s">
        <v>136</v>
      </c>
      <c r="O3" s="182" t="s">
        <v>137</v>
      </c>
      <c r="P3" s="181" t="s">
        <v>139</v>
      </c>
      <c r="Q3" s="183" t="s">
        <v>137</v>
      </c>
    </row>
    <row r="4" spans="1:17" ht="20.25" x14ac:dyDescent="0.25">
      <c r="A4" s="184">
        <v>0</v>
      </c>
      <c r="B4" s="185">
        <f>'1- تحديد الأبعاد الأولية'!I19</f>
        <v>0.85000000000000009</v>
      </c>
      <c r="C4" s="185">
        <f>'1- تحديد الأبعاد الأولية'!M19</f>
        <v>0.31939599483204123</v>
      </c>
      <c r="D4" s="185">
        <f>'1- تحديد الأبعاد الأولية'!N19</f>
        <v>0.28812645687645683</v>
      </c>
      <c r="E4" s="185">
        <f>'1- تحديد الأبعاد الأولية'!K19</f>
        <v>1.0514705882352939</v>
      </c>
      <c r="F4" s="185">
        <f>'3- مسار الكابل'!C10</f>
        <v>0.15</v>
      </c>
      <c r="G4" s="185">
        <f>E4-F4</f>
        <v>0.90147058823529391</v>
      </c>
      <c r="H4" s="185">
        <f>'2-تحديد الحمولات'!C9</f>
        <v>2068.9453125000005</v>
      </c>
      <c r="I4" s="185">
        <f>'2-تحديد الحمولات'!F9</f>
        <v>4543.9453125</v>
      </c>
      <c r="J4" s="186">
        <f>(-'4 - حساب قوة سبق الاجهاد'!$G$35/'4- تحقيق الاجهادات الناظمية'!B4+'4 - حساب قوة سبق الاجهاد'!$G$35*'4- تحقيق الاجهادات الناظمية'!G4/'4- تحقيق الاجهادات الناظمية'!C4-'4- تحقيق الاجهادات الناظمية'!H4/'4- تحقيق الاجهادات الناظمية'!C4)/1000</f>
        <v>0.92863079708752416</v>
      </c>
      <c r="K4" s="187" t="str">
        <f>IF(4&gt;J4,IF(J4&lt;'0- المعطيات'!$I$28,"OK"),"Not OK")</f>
        <v>OK</v>
      </c>
      <c r="L4" s="186">
        <f>(-'4 - حساب قوة سبق الاجهاد'!$G$35/'4- تحقيق الاجهادات الناظمية'!B4-'4 - حساب قوة سبق الاجهاد'!$G$35*'4- تحقيق الاجهادات الناظمية'!G4/D4+'4- تحقيق الاجهادات الناظمية'!H4/D4)/1000</f>
        <v>-12.191488713050509</v>
      </c>
      <c r="M4" s="187" t="str">
        <f>IF(4&gt;L4,IF(L4&gt;='0- المعطيات'!$I$27,"OK"),"Not OK")</f>
        <v>OK</v>
      </c>
      <c r="N4" s="186">
        <f>(-'4 - حساب قوة سبق الاجهاد'!$G$34/'4- تحقيق الاجهادات الناظمية'!B4+'4 - حساب قوة سبق الاجهاد'!$G$34*'4- تحقيق الاجهادات الناظمية'!G4/'4- تحقيق الاجهادات الناظمية'!C4-'4- تحقيق الاجهادات الناظمية'!I4/'4- تحقيق الاجهادات الناظمية'!C4)/1000</f>
        <v>-8.4662175960964809</v>
      </c>
      <c r="O4" s="187" t="str">
        <f>IF(2.5&gt;N4,IF(N4&gt;'0- المعطيات'!$I$29,"OK"),"Not OK")</f>
        <v>OK</v>
      </c>
      <c r="P4" s="186">
        <f>(-'4 - حساب قوة سبق الاجهاد'!$G$34/'4- تحقيق الاجهادات الناظمية'!B4-'4 - حساب قوة سبق الاجهاد'!$G$34*'4- تحقيق الاجهادات الناظمية'!G4/D4+'4- تحقيق الاجهادات الناظمية'!I4/D4)/1000</f>
        <v>0.70341702513020754</v>
      </c>
      <c r="Q4" s="188" t="str">
        <f>IF(2.5&gt;P4,IF(P4&lt;'0- المعطيات'!$I$30,"OK"),"Not OK")</f>
        <v>OK</v>
      </c>
    </row>
    <row r="5" spans="1:17" ht="20.25" x14ac:dyDescent="0.25">
      <c r="A5" s="184">
        <v>1</v>
      </c>
      <c r="B5" s="185">
        <f>'1- تحديد الأبعاد الأولية'!I20</f>
        <v>0.83000000000000007</v>
      </c>
      <c r="C5" s="185">
        <f>'1- تحديد الأبعاد الأولية'!M20</f>
        <v>0.3045823551787849</v>
      </c>
      <c r="D5" s="185">
        <f>'1- تحديد الأبعاد الأولية'!N20</f>
        <v>0.27418669895313574</v>
      </c>
      <c r="E5" s="185">
        <f>'1- تحديد الأبعاد الأولية'!K20</f>
        <v>1.0262048192771083</v>
      </c>
      <c r="F5" s="185">
        <f>'3- مسار الكابل'!C11</f>
        <v>0.15211111111111111</v>
      </c>
      <c r="G5" s="185">
        <f t="shared" ref="G5:G19" si="0">E5-F5</f>
        <v>0.87409370816599719</v>
      </c>
      <c r="H5" s="185">
        <f>'2-تحديد الحمولات'!C10</f>
        <v>2059.7500000000005</v>
      </c>
      <c r="I5" s="185">
        <f>'2-تحديد الحمولات'!F10</f>
        <v>4523.75</v>
      </c>
      <c r="J5" s="186">
        <f>(-'4 - حساب قوة سبق الاجهاد'!$G$35/'4- تحقيق الاجهادات الناظمية'!B5+'4 - حساب قوة سبق الاجهاد'!$G$35*'4- تحقيق الاجهادات الناظمية'!G5/'4- تحقيق الاجهادات الناظمية'!C5-'4- تحقيق الاجهادات الناظمية'!H5/'4- تحقيق الاجهادات الناظمية'!C5)/1000</f>
        <v>0.72944316028092637</v>
      </c>
      <c r="K5" s="187" t="str">
        <f>IF(4&gt;J5,IF(J5&lt;'0- المعطيات'!$I$28,"OK"),"Not OK")</f>
        <v>OK</v>
      </c>
      <c r="L5" s="186">
        <f>(-'4 - حساب قوة سبق الاجهاد'!$G$35/'4- تحقيق الاجهادات الناظمية'!B5-'4 - حساب قوة سبق الاجهاد'!$G$35*'4- تحقيق الاجهادات الناظمية'!G5/D5+'4- تحقيق الاجهادات الناظمية'!H5/D5)/1000</f>
        <v>-12.253983191091329</v>
      </c>
      <c r="M5" s="187" t="str">
        <f>IF(4&gt;L5,IF(L5&gt;='0- المعطيات'!$I$27,"OK"),"Not OK")</f>
        <v>OK</v>
      </c>
      <c r="N5" s="186">
        <f>(-'4 - حساب قوة سبق الاجهاد'!$G$34/'4- تحقيق الاجهادات الناظمية'!B5+'4 - حساب قوة سبق الاجهاد'!$G$34*'4- تحقيق الاجهادات الناظمية'!G5/'4- تحقيق الاجهادات الناظمية'!C5-'4- تحقيق الاجهادات الناظمية'!I5/'4- تحقيق الاجهادات الناظمية'!C5)/1000</f>
        <v>-9.02520778562352</v>
      </c>
      <c r="O5" s="187" t="str">
        <f>IF(2.5&gt;N5,IF(N5&gt;'0- المعطيات'!$I$29,"OK"),"Not OK")</f>
        <v>OK</v>
      </c>
      <c r="P5" s="186">
        <f>(-'4 - حساب قوة سبق الاجهاد'!$G$34/'4- تحقيق الاجهادات الناظمية'!B5-'4 - حساب قوة سبق الاجهاد'!$G$34*'4- تحقيق الاجهادات الناظمية'!G5/D5+'4- تحقيق الاجهادات الناظمية'!I5/D5)/1000</f>
        <v>1.1250831840949904</v>
      </c>
      <c r="Q5" s="188" t="str">
        <f>IF(2.5&gt;P5,IF(P5&lt;'0- المعطيات'!$I$30,"OK"),"Not OK")</f>
        <v>OK</v>
      </c>
    </row>
    <row r="6" spans="1:17" ht="20.25" x14ac:dyDescent="0.25">
      <c r="A6" s="184">
        <v>2</v>
      </c>
      <c r="B6" s="185">
        <f>'1- تحديد الأبعاد الأولية'!I21</f>
        <v>0.81</v>
      </c>
      <c r="C6" s="185">
        <f>'1- تحديد الأبعاد الأولية'!M21</f>
        <v>0.29010324407826976</v>
      </c>
      <c r="D6" s="185">
        <f>'1- تحديد الأبعاد الأولية'!N21</f>
        <v>0.2605830249768733</v>
      </c>
      <c r="E6" s="185">
        <f>'1- تحديد الأبعاد الأولية'!K21</f>
        <v>1.0009259259259258</v>
      </c>
      <c r="F6" s="185">
        <f>'3- مسار الكابل'!C12</f>
        <v>0.15844444444444444</v>
      </c>
      <c r="G6" s="185">
        <f t="shared" si="0"/>
        <v>0.84248148148148139</v>
      </c>
      <c r="H6" s="185">
        <f>'2-تحديد الحمولات'!C11</f>
        <v>2032.1640625000005</v>
      </c>
      <c r="I6" s="185">
        <f>'2-تحديد الحمولات'!F11</f>
        <v>4463.1640625</v>
      </c>
      <c r="J6" s="186">
        <f>(-'4 - حساب قوة سبق الاجهاد'!$G$35/'4- تحقيق الاجهادات الناظمية'!B6+'4 - حساب قوة سبق الاجهاد'!$G$35*'4- تحقيق الاجهادات الناظمية'!G6/'4- تحقيق الاجهادات الناظمية'!C6-'4- تحقيق الاجهادات الناظمية'!H6/'4- تحقيق الاجهادات الناظمية'!C6)/1000</f>
        <v>0.50733120363413309</v>
      </c>
      <c r="K6" s="187" t="str">
        <f>IF(4&gt;J6,IF(J6&lt;'0- المعطيات'!$I$28,"OK"),"Not OK")</f>
        <v>OK</v>
      </c>
      <c r="L6" s="186">
        <f>(-'4 - حساب قوة سبق الاجهاد'!$G$35/'4- تحقيق الاجهادات الناظمية'!B6-'4 - حساب قوة سبق الاجهاد'!$G$35*'4- تحقيق الاجهادات الناظمية'!G6/D6+'4- تحقيق الاجهادات الناظمية'!H6/D6)/1000</f>
        <v>-12.304526705590622</v>
      </c>
      <c r="M6" s="187" t="str">
        <f>IF(4&gt;L6,IF(L6&gt;='0- المعطيات'!$I$27,"OK"),"Not OK")</f>
        <v>OK</v>
      </c>
      <c r="N6" s="186">
        <f>(-'4 - حساب قوة سبق الاجهاد'!$G$34/'4- تحقيق الاجهادات الناظمية'!B6+'4 - حساب قوة سبق الاجهاد'!$G$34*'4- تحقيق الاجهادات الناظمية'!G6/'4- تحقيق الاجهادات الناظمية'!C6-'4- تحقيق الاجهادات الناظمية'!I6/'4- تحقيق الاجهادات الناظمية'!C6)/1000</f>
        <v>-9.541844014947273</v>
      </c>
      <c r="O6" s="187" t="str">
        <f>IF(2.5&gt;N6,IF(N6&gt;'0- المعطيات'!$I$29,"OK"),"Not OK")</f>
        <v>OK</v>
      </c>
      <c r="P6" s="186">
        <f>(-'4 - حساب قوة سبق الاجهاد'!$G$34/'4- تحقيق الاجهادات الناظمية'!B6-'4 - حساب قوة سبق الاجهاد'!$G$34*'4- تحقيق الاجهادات الناظمية'!G6/D6+'4- تحقيق الاجهادات الناظمية'!I6/D6)/1000</f>
        <v>1.491899258659112</v>
      </c>
      <c r="Q6" s="188" t="str">
        <f>IF(2.5&gt;P6,IF(P6&lt;'0- المعطيات'!$I$30,"OK"),"Not OK")</f>
        <v>OK</v>
      </c>
    </row>
    <row r="7" spans="1:17" ht="20.25" x14ac:dyDescent="0.25">
      <c r="A7" s="184">
        <v>3</v>
      </c>
      <c r="B7" s="185">
        <f>'1- تحديد الأبعاد الأولية'!I22</f>
        <v>0.79</v>
      </c>
      <c r="C7" s="185">
        <f>'1- تحديد الأبعاد الأولية'!M22</f>
        <v>0.2759587706599107</v>
      </c>
      <c r="D7" s="185">
        <f>'1- تحديد الأبعاد الأولية'!N22</f>
        <v>0.24731562871661797</v>
      </c>
      <c r="E7" s="185">
        <f>'1- تحديد الأبعاد الأولية'!K22</f>
        <v>0.97563291139240504</v>
      </c>
      <c r="F7" s="185">
        <f>'3- مسار الكابل'!C13</f>
        <v>0.16899999999999998</v>
      </c>
      <c r="G7" s="185">
        <f t="shared" si="0"/>
        <v>0.80663291139240512</v>
      </c>
      <c r="H7" s="185">
        <f>'2-تحديد الحمولات'!C12</f>
        <v>1986.1875000000005</v>
      </c>
      <c r="I7" s="185">
        <f>'2-تحديد الحمولات'!F12</f>
        <v>4362.1875</v>
      </c>
      <c r="J7" s="186">
        <f>(-'4 - حساب قوة سبق الاجهاد'!$G$35/'4- تحقيق الاجهادات الناظمية'!B7+'4 - حساب قوة سبق الاجهاد'!$G$35*'4- تحقيق الاجهادات الناظمية'!G7/'4- تحقيق الاجهادات الناظمية'!C7-'4- تحقيق الاجهادات الناظمية'!H7/'4- تحقيق الاجهادات الناظمية'!C7)/1000</f>
        <v>0.25950197358970306</v>
      </c>
      <c r="K7" s="187" t="str">
        <f>IF(4&gt;J7,IF(J7&lt;'0- المعطيات'!$I$28,"OK"),"Not OK")</f>
        <v>OK</v>
      </c>
      <c r="L7" s="186">
        <f>(-'4 - حساب قوة سبق الاجهاد'!$G$35/'4- تحقيق الاجهادات الناظمية'!B7-'4 - حساب قوة سبق الاجهاد'!$G$35*'4- تحقيق الاجهادات الناظمية'!G7/D7+'4- تحقيق الاجهادات الناظمية'!H7/D7)/1000</f>
        <v>-12.340902419318516</v>
      </c>
      <c r="M7" s="187" t="str">
        <f>IF(4&gt;L7,IF(L7&gt;='0- المعطيات'!$I$27,"OK"),"Not OK")</f>
        <v>OK</v>
      </c>
      <c r="N7" s="186">
        <f>(-'4 - حساب قوة سبق الاجهاد'!$G$34/'4- تحقيق الاجهادات الناظمية'!B7+'4 - حساب قوة سبق الاجهاد'!$G$34*'4- تحقيق الاجهادات الناظمية'!G7/'4- تحقيق الاجهادات الناظمية'!C7-'4- تحقيق الاجهادات الناظمية'!I7/'4- تحقيق الاجهادات الناظمية'!C7)/1000</f>
        <v>-10.007570664452528</v>
      </c>
      <c r="O7" s="187" t="str">
        <f>IF(2.5&gt;N7,IF(N7&gt;'0- المعطيات'!$I$29,"OK"),"Not OK")</f>
        <v>OK</v>
      </c>
      <c r="P7" s="186">
        <f>(-'4 - حساب قوة سبق الاجهاد'!$G$34/'4- تحقيق الاجهادات الناظمية'!B7-'4 - حساب قوة سبق الاجهاد'!$G$34*'4- تحقيق الاجهادات الناظمية'!G7/D7+'4- تحقيق الاجهادات الناظمية'!I7/D7)/1000</f>
        <v>1.7933398329739976</v>
      </c>
      <c r="Q7" s="188" t="str">
        <f>IF(2.5&gt;P7,IF(P7&lt;'0- المعطيات'!$I$30,"OK"),"Not OK")</f>
        <v>OK</v>
      </c>
    </row>
    <row r="8" spans="1:17" ht="20.25" x14ac:dyDescent="0.25">
      <c r="A8" s="184">
        <v>4</v>
      </c>
      <c r="B8" s="185">
        <f>'1- تحديد الأبعاد الأولية'!I23</f>
        <v>0.77</v>
      </c>
      <c r="C8" s="185">
        <f>'1- تحديد الأبعاد الأولية'!M23</f>
        <v>0.2621490574449114</v>
      </c>
      <c r="D8" s="185">
        <f>'1- تحديد الأبعاد الأولية'!N23</f>
        <v>0.23438472269673158</v>
      </c>
      <c r="E8" s="185">
        <f>'1- تحديد الأبعاد الأولية'!K23</f>
        <v>0.95032467532467513</v>
      </c>
      <c r="F8" s="185">
        <f>'3- مسار الكابل'!C14</f>
        <v>0.18377777777777776</v>
      </c>
      <c r="G8" s="185">
        <f t="shared" si="0"/>
        <v>0.76654689754689742</v>
      </c>
      <c r="H8" s="185">
        <f>'2-تحديد الحمولات'!C13</f>
        <v>1921.8203125000002</v>
      </c>
      <c r="I8" s="185">
        <f>'2-تحديد الحمولات'!F13</f>
        <v>4220.8203125</v>
      </c>
      <c r="J8" s="186">
        <f>(-'4 - حساب قوة سبق الاجهاد'!$G$35/'4- تحقيق الاجهادات الناظمية'!B8+'4 - حساب قوة سبق الاجهاد'!$G$35*'4- تحقيق الاجهادات الناظمية'!G8/'4- تحقيق الاجهادات الناظمية'!C8-'4- تحقيق الاجهادات الناظمية'!H8/'4- تحقيق الاجهادات الناظمية'!C8)/1000</f>
        <v>-1.7249478749239641E-2</v>
      </c>
      <c r="K8" s="187" t="str">
        <f>IF(4&gt;J8,IF(J8&lt;'0- المعطيات'!$I$28,"OK"),"Not OK")</f>
        <v>OK</v>
      </c>
      <c r="L8" s="186">
        <f>(-'4 - حساب قوة سبق الاجهاد'!$G$35/'4- تحقيق الاجهادات الناظمية'!B8-'4 - حساب قوة سبق الاجهاد'!$G$35*'4- تحقيق الاجهادات الناظمية'!G8/D8+'4- تحقيق الاجهادات الناظمية'!H8/D8)/1000</f>
        <v>-12.360503315132201</v>
      </c>
      <c r="M8" s="187" t="str">
        <f>IF(4&gt;L8,IF(L8&gt;='0- المعطيات'!$I$27,"OK"),"Not OK")</f>
        <v>OK</v>
      </c>
      <c r="N8" s="186">
        <f>(-'4 - حساب قوة سبق الاجهاد'!$G$34/'4- تحقيق الاجهادات الناظمية'!B8+'4 - حساب قوة سبق الاجهاد'!$G$34*'4- تحقيق الاجهادات الناظمية'!G8/'4- تحقيق الاجهادات الناظمية'!C8-'4- تحقيق الاجهادات الناظمية'!I8/'4- تحقيق الاجهادات الناظمية'!C8)/1000</f>
        <v>-10.412351916886543</v>
      </c>
      <c r="O8" s="187" t="str">
        <f>IF(2.5&gt;N8,IF(N8&gt;'0- المعطيات'!$I$29,"OK"),"Not OK")</f>
        <v>OK</v>
      </c>
      <c r="P8" s="186">
        <f>(-'4 - حساب قوة سبق الاجهاد'!$G$34/'4- تحقيق الاجهادات الناظمية'!B8-'4 - حساب قوة سبق الاجهاد'!$G$34*'4- تحقيق الاجهادات الناظمية'!G8/D8+'4- تحقيق الاجهادات الناظمية'!I8/D8)/1000</f>
        <v>2.0170297519017586</v>
      </c>
      <c r="Q8" s="188" t="str">
        <f>IF(2.5&gt;P8,IF(P8&lt;'0- المعطيات'!$I$30,"OK"),"Not OK")</f>
        <v>OK</v>
      </c>
    </row>
    <row r="9" spans="1:17" ht="20.25" x14ac:dyDescent="0.25">
      <c r="A9" s="184">
        <v>5</v>
      </c>
      <c r="B9" s="185">
        <f>'1- تحديد الأبعاد الأولية'!I24</f>
        <v>0.75</v>
      </c>
      <c r="C9" s="185">
        <f>'1- تحديد الأبعاد الأولية'!M24</f>
        <v>0.24867424242424238</v>
      </c>
      <c r="D9" s="185">
        <f>'1- تحديد الأبعاد الأولية'!N24</f>
        <v>0.22179054054054048</v>
      </c>
      <c r="E9" s="185">
        <f>'1- تحديد الأبعاد الأولية'!K24</f>
        <v>0.92499999999999993</v>
      </c>
      <c r="F9" s="185">
        <f>'3- مسار الكابل'!C15</f>
        <v>0.20277777777777772</v>
      </c>
      <c r="G9" s="185">
        <f t="shared" si="0"/>
        <v>0.72222222222222221</v>
      </c>
      <c r="H9" s="185">
        <f>'2-تحديد الحمولات'!C14</f>
        <v>1839.0625000000005</v>
      </c>
      <c r="I9" s="185">
        <f>'2-تحديد الحمولات'!F14</f>
        <v>4039.0625000000005</v>
      </c>
      <c r="J9" s="186">
        <f>(-'4 - حساب قوة سبق الاجهاد'!$G$35/'4- تحقيق الاجهادات الناظمية'!B9+'4 - حساب قوة سبق الاجهاد'!$G$35*'4- تحقيق الاجهادات الناظمية'!G9/'4- تحقيق الاجهادات الناظمية'!C9-'4- تحقيق الاجهادات الناظمية'!H9/'4- تحقيق الاجهادات الناظمية'!C9)/1000</f>
        <v>-0.32661389794364093</v>
      </c>
      <c r="K9" s="187" t="str">
        <f>IF(4&gt;J9,IF(J9&lt;'0- المعطيات'!$I$28,"OK"),"Not OK")</f>
        <v>OK</v>
      </c>
      <c r="L9" s="186">
        <f>(-'4 - حساب قوة سبق الاجهاد'!$G$35/'4- تحقيق الاجهادات الناظمية'!B9-'4 - حساب قوة سبق الاجهاد'!$G$35*'4- تحقيق الاجهادات الناظمية'!G9/D9+'4- تحقيق الاجهادات الناظمية'!H9/D9)/1000</f>
        <v>-12.360254720487436</v>
      </c>
      <c r="M9" s="187" t="str">
        <f>IF(4&gt;L9,IF(L9&gt;='0- المعطيات'!$I$27,"OK"),"Not OK")</f>
        <v>OK</v>
      </c>
      <c r="N9" s="186">
        <f>(-'4 - حساب قوة سبق الاجهاد'!$G$34/'4- تحقيق الاجهادات الناظمية'!B9+'4 - حساب قوة سبق الاجهاد'!$G$34*'4- تحقيق الاجهادات الناظمية'!G9/'4- تحقيق الاجهادات الناظمية'!C9-'4- تحقيق الاجهادات الناظمية'!I9/'4- تحقيق الاجهادات الناظمية'!C9)/1000</f>
        <v>-10.744385913175934</v>
      </c>
      <c r="O9" s="187" t="str">
        <f>IF(2.5&gt;N9,IF(N9&gt;'0- المعطيات'!$I$29,"OK"),"Not OK")</f>
        <v>OK</v>
      </c>
      <c r="P9" s="186">
        <f>(-'4 - حساب قوة سبق الاجهاد'!$G$34/'4- تحقيق الاجهادات الناظمية'!B9-'4 - حساب قوة سبق الاجهاد'!$G$34*'4- تحقيق الاجهادات الناظمية'!G9/D9+'4- تحقيق الاجهادات الناظمية'!I9/D9)/1000</f>
        <v>2.1483793571972636</v>
      </c>
      <c r="Q9" s="188" t="str">
        <f>IF(2.5&gt;P9,IF(P9&lt;'0- المعطيات'!$I$30,"OK"),"Not OK")</f>
        <v>OK</v>
      </c>
    </row>
    <row r="10" spans="1:17" ht="20.25" x14ac:dyDescent="0.25">
      <c r="A10" s="184">
        <v>6</v>
      </c>
      <c r="B10" s="185">
        <f>'1- تحديد الأبعاد الأولية'!I25</f>
        <v>0.73</v>
      </c>
      <c r="C10" s="185">
        <f>'1- تحديد الأبعاد الأولية'!M25</f>
        <v>0.23553448152902573</v>
      </c>
      <c r="D10" s="185">
        <f>'1- تحديد الأبعاد الأولية'!N25</f>
        <v>0.20953333967770582</v>
      </c>
      <c r="E10" s="185">
        <f>'1- تحديد الأبعاد الأولية'!K25</f>
        <v>0.89965753424657513</v>
      </c>
      <c r="F10" s="185">
        <f>'3- مسار الكابل'!C16</f>
        <v>0.22599999999999992</v>
      </c>
      <c r="G10" s="185">
        <f t="shared" si="0"/>
        <v>0.67365753424657515</v>
      </c>
      <c r="H10" s="185">
        <f>'2-تحديد الحمولات'!C15</f>
        <v>1737.9140625000005</v>
      </c>
      <c r="I10" s="185">
        <f>'2-تحديد الحمولات'!F15</f>
        <v>3816.9140625000005</v>
      </c>
      <c r="J10" s="186">
        <f>(-'4 - حساب قوة سبق الاجهاد'!$G$35/'4- تحقيق الاجهادات الناظمية'!B10+'4 - حساب قوة سبق الاجهاد'!$G$35*'4- تحقيق الاجهادات الناظمية'!G10/'4- تحقيق الاجهادات الناظمية'!C10-'4- تحقيق الاجهادات الناظمية'!H10/'4- تحقيق الاجهادات الناظمية'!C10)/1000</f>
        <v>-0.6728574673082931</v>
      </c>
      <c r="K10" s="187" t="str">
        <f>IF(4&gt;J10,IF(J10&lt;'0- المعطيات'!$I$28,"OK"),"Not OK")</f>
        <v>OK</v>
      </c>
      <c r="L10" s="186">
        <f>(-'4 - حساب قوة سبق الاجهاد'!$G$35/'4- تحقيق الاجهادات الناظمية'!B10-'4 - حساب قوة سبق الاجهاد'!$G$35*'4- تحقيق الاجهادات الناظمية'!G10/D10+'4- تحقيق الاجهادات الناظمية'!H10/D10)/1000</f>
        <v>-12.336519055789951</v>
      </c>
      <c r="M10" s="187" t="str">
        <f>IF(4&gt;L10,IF(L10&gt;='0- المعطيات'!$I$27,"OK"),"Not OK")</f>
        <v>OK</v>
      </c>
      <c r="N10" s="186">
        <f>(-'4 - حساب قوة سبق الاجهاد'!$G$34/'4- تحقيق الاجهادات الناظمية'!B10+'4 - حساب قوة سبق الاجهاد'!$G$34*'4- تحقيق الاجهادات الناظمية'!G10/'4- تحقيق الاجهادات الناظمية'!C10-'4- تحقيق الاجهادات الناظمية'!I10/'4- تحقيق الاجهادات الناظمية'!C10)/1000</f>
        <v>-10.989754930858711</v>
      </c>
      <c r="O10" s="187" t="str">
        <f>IF(2.5&gt;N10,IF(N10&gt;'0- المعطيات'!$I$29,"OK"),"Not OK")</f>
        <v>OK</v>
      </c>
      <c r="P10" s="186">
        <f>(-'4 - حساب قوة سبق الاجهاد'!$G$34/'4- تحقيق الاجهادات الناظمية'!B10-'4 - حساب قوة سبق الاجهاد'!$G$34*'4- تحقيق الاجهادات الناظمية'!G10/D10+'4- تحقيق الاجهادات الناظمية'!I10/D10)/1000</f>
        <v>2.1701366723858957</v>
      </c>
      <c r="Q10" s="188" t="str">
        <f>IF(2.5&gt;P10,IF(P10&lt;'0- المعطيات'!$I$30,"OK"),"Not OK")</f>
        <v>OK</v>
      </c>
    </row>
    <row r="11" spans="1:17" ht="20.25" x14ac:dyDescent="0.25">
      <c r="A11" s="184">
        <v>7</v>
      </c>
      <c r="B11" s="185">
        <f>'1- تحديد الأبعاد الأولية'!I26</f>
        <v>0.71</v>
      </c>
      <c r="C11" s="185">
        <f>'1- تحديد الأبعاد الأولية'!M26</f>
        <v>0.22272995158117714</v>
      </c>
      <c r="D11" s="185">
        <f>'1- تحديد الأبعاد الأولية'!N26</f>
        <v>0.19761340448382328</v>
      </c>
      <c r="E11" s="185">
        <f>'1- تحديد الأبعاد الأولية'!K26</f>
        <v>0.87429577464788721</v>
      </c>
      <c r="F11" s="185">
        <f>'3- مسار الكابل'!C17</f>
        <v>0.25344444444444436</v>
      </c>
      <c r="G11" s="185">
        <f t="shared" si="0"/>
        <v>0.62085133020344285</v>
      </c>
      <c r="H11" s="185">
        <f>'2-تحديد الحمولات'!C16</f>
        <v>1618.3750000000005</v>
      </c>
      <c r="I11" s="185">
        <f>'2-تحديد الحمولات'!F16</f>
        <v>3554.3750000000005</v>
      </c>
      <c r="J11" s="186">
        <f>(-'4 - حساب قوة سبق الاجهاد'!$G$35/'4- تحقيق الاجهادات الناظمية'!B11+'4 - حساب قوة سبق الاجهاد'!$G$35*'4- تحقيق الاجهادات الناظمية'!G11/'4- تحقيق الاجهادات الناظمية'!C11-'4- تحقيق الاجهادات الناظمية'!H11/'4- تحقيق الاجهادات الناظمية'!C11)/1000</f>
        <v>-1.0609313116510319</v>
      </c>
      <c r="K11" s="187" t="str">
        <f>IF(4&gt;J11,IF(J11&lt;'0- المعطيات'!$I$28,"OK"),"Not OK")</f>
        <v>OK</v>
      </c>
      <c r="L11" s="186">
        <f>(-'4 - حساب قوة سبق الاجهاد'!$G$35/'4- تحقيق الاجهادات الناظمية'!B11-'4 - حساب قوة سبق الاجهاد'!$G$35*'4- تحقيق الاجهادات الناظمية'!G11/D11+'4- تحقيق الاجهادات الناظمية'!H11/D11)/1000</f>
        <v>-12.284978099487287</v>
      </c>
      <c r="M11" s="187" t="str">
        <f>IF(4&gt;L11,IF(L11&gt;='0- المعطيات'!$I$27,"OK"),"Not OK")</f>
        <v>OK</v>
      </c>
      <c r="N11" s="186">
        <f>(-'4 - حساب قوة سبق الاجهاد'!$G$34/'4- تحقيق الاجهادات الناظمية'!B11+'4 - حساب قوة سبق الاجهاد'!$G$34*'4- تحقيق الاجهادات الناظمية'!G11/'4- تحقيق الاجهادات الناظمية'!C11-'4- تحقيق الاجهادات الناظمية'!I11/'4- تحقيق الاجهادات الناظمية'!C11)/1000</f>
        <v>-11.131994945902486</v>
      </c>
      <c r="O11" s="187" t="str">
        <f>IF(2.5&gt;N11,IF(N11&gt;'0- المعطيات'!$I$29,"OK"),"Not OK")</f>
        <v>OK</v>
      </c>
      <c r="P11" s="186">
        <f>(-'4 - حساب قوة سبق الاجهاد'!$G$34/'4- تحقيق الاجهادات الناظمية'!B11-'4 - حساب قوة سبق الاجهاد'!$G$34*'4- تحقيق الاجهادات الناظمية'!G11/D11+'4- تحقيق الاجهادات الناظمية'!I11/D11)/1000</f>
        <v>2.0618347029849646</v>
      </c>
      <c r="Q11" s="188" t="str">
        <f>IF(2.5&gt;P11,IF(P11&lt;'0- المعطيات'!$I$30,"OK"),"Not OK")</f>
        <v>OK</v>
      </c>
    </row>
    <row r="12" spans="1:17" ht="20.25" x14ac:dyDescent="0.25">
      <c r="A12" s="184">
        <v>8</v>
      </c>
      <c r="B12" s="185">
        <f>'1- تحديد الأبعاد الأولية'!I27</f>
        <v>0.69</v>
      </c>
      <c r="C12" s="185">
        <f>'1- تحديد الأبعاد الأولية'!M27</f>
        <v>0.21026085383502163</v>
      </c>
      <c r="D12" s="185">
        <f>'1- تحديد الأبعاد الأولية'!N27</f>
        <v>0.18603104993597946</v>
      </c>
      <c r="E12" s="185">
        <f>'1- تحديد الأبعاد الأولية'!K27</f>
        <v>0.84891304347826069</v>
      </c>
      <c r="F12" s="185">
        <f>'3- مسار الكابل'!C18</f>
        <v>0.28511111111111098</v>
      </c>
      <c r="G12" s="185">
        <f t="shared" si="0"/>
        <v>0.56380193236714971</v>
      </c>
      <c r="H12" s="185">
        <f>'2-تحديد الحمولات'!C17</f>
        <v>1480.4453125000005</v>
      </c>
      <c r="I12" s="185">
        <f>'2-تحديد الحمولات'!F17</f>
        <v>3251.4453125000005</v>
      </c>
      <c r="J12" s="186">
        <f>(-'4 - حساب قوة سبق الاجهاد'!$G$35/'4- تحقيق الاجهادات الناظمية'!B12+'4 - حساب قوة سبق الاجهاد'!$G$35*'4- تحقيق الاجهادات الناظمية'!G12/'4- تحقيق الاجهادات الناظمية'!C12-'4- تحقيق الاجهادات الناظمية'!H12/'4- تحقيق الاجهادات الناظمية'!C12)/1000</f>
        <v>-1.4966060636931953</v>
      </c>
      <c r="K12" s="187" t="str">
        <f>IF(4&gt;J12,IF(J12&lt;'0- المعطيات'!$I$28,"OK"),"Not OK")</f>
        <v>OK</v>
      </c>
      <c r="L12" s="186">
        <f>(-'4 - حساب قوة سبق الاجهاد'!$G$35/'4- تحقيق الاجهادات الناظمية'!B12-'4 - حساب قوة سبق الاجهاد'!$G$35*'4- تحقيق الاجهادات الناظمية'!G12/D12+'4- تحقيق الاجهادات الناظمية'!H12/D12)/1000</f>
        <v>-12.200486634233886</v>
      </c>
      <c r="M12" s="187" t="str">
        <f>IF(4&gt;L12,IF(L12&gt;='0- المعطيات'!$I$27,"OK"),"Not OK")</f>
        <v>OK</v>
      </c>
      <c r="N12" s="186">
        <f>(-'4 - حساب قوة سبق الاجهاد'!$G$34/'4- تحقيق الاجهادات الناظمية'!B12+'4 - حساب قوة سبق الاجهاد'!$G$34*'4- تحقيق الاجهادات الناظمية'!G12/'4- تحقيق الاجهادات الناظمية'!C12-'4- تحقيق الاجهادات الناظمية'!I12/'4- تحقيق الاجهادات الناظمية'!C12)/1000</f>
        <v>-11.151562939161442</v>
      </c>
      <c r="O12" s="187" t="str">
        <f>IF(2.5&gt;N12,IF(N12&gt;'0- المعطيات'!$I$29,"OK"),"Not OK")</f>
        <v>OK</v>
      </c>
      <c r="P12" s="186">
        <f>(-'4 - حساب قوة سبق الاجهاد'!$G$34/'4- تحقيق الاجهادات الناظمية'!B12-'4 - حساب قوة سبق الاجهاد'!$G$34*'4- تحقيق الاجهادات الناظمية'!G12/D12+'4- تحقيق الاجهادات الناظمية'!I12/D12)/1000</f>
        <v>1.7991054348554099</v>
      </c>
      <c r="Q12" s="188" t="str">
        <f>IF(2.5&gt;P12,IF(P12&lt;'0- المعطيات'!$I$30,"OK"),"Not OK")</f>
        <v>OK</v>
      </c>
    </row>
    <row r="13" spans="1:17" ht="20.25" x14ac:dyDescent="0.25">
      <c r="A13" s="184">
        <v>9</v>
      </c>
      <c r="B13" s="185">
        <f>'1- تحديد الأبعاد الأولية'!I28</f>
        <v>0.66999999999999993</v>
      </c>
      <c r="C13" s="185">
        <f>'1- تحديد الأبعاد الأولية'!M28</f>
        <v>0.19812741825029953</v>
      </c>
      <c r="D13" s="185">
        <f>'1- تحديد الأبعاد الأولية'!N28</f>
        <v>0.1747866258873281</v>
      </c>
      <c r="E13" s="185">
        <f>'1- تحديد الأبعاد الأولية'!K28</f>
        <v>0.82350746268656705</v>
      </c>
      <c r="F13" s="185">
        <f>'3- مسار الكابل'!C19</f>
        <v>0.32099999999999984</v>
      </c>
      <c r="G13" s="185">
        <f t="shared" si="0"/>
        <v>0.50250746268656721</v>
      </c>
      <c r="H13" s="185">
        <f>'2-تحديد الحمولات'!C18</f>
        <v>1324.1250000000005</v>
      </c>
      <c r="I13" s="185">
        <f>'2-تحديد الحمولات'!F18</f>
        <v>2908.1250000000005</v>
      </c>
      <c r="J13" s="186">
        <f>(-'4 - حساب قوة سبق الاجهاد'!$G$35/'4- تحقيق الاجهادات الناظمية'!B13+'4 - حساب قوة سبق الاجهاد'!$G$35*'4- تحقيق الاجهادات الناظمية'!G13/'4- تحقيق الاجهادات الناظمية'!C13-'4- تحقيق الاجهادات الناظمية'!H13/'4- تحقيق الاجهادات الناظمية'!C13)/1000</f>
        <v>-1.9866382896633841</v>
      </c>
      <c r="K13" s="187" t="str">
        <f>IF(4&gt;J13,IF(J13&lt;'0- المعطيات'!$I$28,"OK"),"Not OK")</f>
        <v>OK</v>
      </c>
      <c r="L13" s="186">
        <f>(-'4 - حساب قوة سبق الاجهاد'!$G$35/'4- تحقيق الاجهادات الناظمية'!B13-'4 - حساب قوة سبق الاجهاد'!$G$35*'4- تحقيق الاجهادات الناظمية'!G13/D13+'4- تحقيق الاجهادات الناظمية'!H13/D13)/1000</f>
        <v>-12.076889416904425</v>
      </c>
      <c r="M13" s="187" t="str">
        <f>IF(4&gt;L13,IF(L13&gt;='0- المعطيات'!$I$27,"OK"),"Not OK")</f>
        <v>OK</v>
      </c>
      <c r="N13" s="186">
        <f>(-'4 - حساب قوة سبق الاجهاد'!$G$34/'4- تحقيق الاجهادات الناظمية'!B13+'4 - حساب قوة سبق الاجهاد'!$G$34*'4- تحقيق الاجهادات الناظمية'!G13/'4- تحقيق الاجهادات الناظمية'!C13-'4- تحقيق الاجهادات الناظمية'!I13/'4- تحقيق الاجهادات الناظمية'!C13)/1000</f>
        <v>-11.025173587176118</v>
      </c>
      <c r="O13" s="187" t="str">
        <f>IF(2.5&gt;N13,IF(N13&gt;'0- المعطيات'!$I$29,"OK"),"Not OK")</f>
        <v>OK</v>
      </c>
      <c r="P13" s="186">
        <f>(-'4 - حساب قوة سبق الاجهاد'!$G$34/'4- تحقيق الاجهادات الناظمية'!B13-'4 - حساب قوة سبق الاجهاد'!$G$34*'4- تحقيق الاجهادات الناظمية'!G13/D13+'4- تحقيق الاجهادات الناظمية'!I13/D13)/1000</f>
        <v>1.3528232701066736</v>
      </c>
      <c r="Q13" s="188" t="str">
        <f>IF(2.5&gt;P13,IF(P13&lt;'0- المعطيات'!$I$30,"OK"),"Not OK")</f>
        <v>OK</v>
      </c>
    </row>
    <row r="14" spans="1:17" ht="20.25" x14ac:dyDescent="0.25">
      <c r="A14" s="184">
        <v>10</v>
      </c>
      <c r="B14" s="185">
        <f>'1- تحديد الأبعاد الأولية'!I29</f>
        <v>0.6499999999999998</v>
      </c>
      <c r="C14" s="185">
        <f>'1- تحديد الأبعاد الأولية'!M29</f>
        <v>0.18632990867579899</v>
      </c>
      <c r="D14" s="185">
        <f>'1- تحديد الأبعاد الأولية'!N29</f>
        <v>0.1638805220883533</v>
      </c>
      <c r="E14" s="185">
        <f>'1- تحديد الأبعاد الأولية'!K29</f>
        <v>0.79807692307692291</v>
      </c>
      <c r="F14" s="185">
        <f>'3- مسار الكابل'!C20</f>
        <v>0.36111111111111094</v>
      </c>
      <c r="G14" s="185">
        <f t="shared" si="0"/>
        <v>0.43696581196581197</v>
      </c>
      <c r="H14" s="185">
        <f>'2-تحديد الحمولات'!C19</f>
        <v>1149.4140625000002</v>
      </c>
      <c r="I14" s="185">
        <f>'2-تحديد الحمولات'!F19</f>
        <v>2524.4140625</v>
      </c>
      <c r="J14" s="186">
        <f>(-'4 - حساب قوة سبق الاجهاد'!$G$35/'4- تحقيق الاجهادات الناظمية'!B14+'4 - حساب قوة سبق الاجهاد'!$G$35*'4- تحقيق الاجهادات الناظمية'!G14/'4- تحقيق الاجهادات الناظمية'!C14-'4- تحقيق الاجهادات الناظمية'!H14/'4- تحقيق الاجهادات الناظمية'!C14)/1000</f>
        <v>-2.5389777224689851</v>
      </c>
      <c r="K14" s="187" t="str">
        <f>IF(4&gt;J14,IF(J14&lt;'0- المعطيات'!$I$28,"OK"),"Not OK")</f>
        <v>OK</v>
      </c>
      <c r="L14" s="186">
        <f>(-'4 - حساب قوة سبق الاجهاد'!$G$35/'4- تحقيق الاجهادات الناظمية'!B14-'4 - حساب قوة سبق الاجهاد'!$G$35*'4- تحقيق الاجهادات الناظمية'!G14/D14+'4- تحقيق الاجهادات الناظمية'!H14/D14)/1000</f>
        <v>-11.906790808699654</v>
      </c>
      <c r="M14" s="187" t="str">
        <f>IF(4&gt;L14,IF(L14&gt;='0- المعطيات'!$I$27,"OK"),"Not OK")</f>
        <v>OK</v>
      </c>
      <c r="N14" s="186">
        <f>(-'4 - حساب قوة سبق الاجهاد'!$G$34/'4- تحقيق الاجهادات الناظمية'!B14+'4 - حساب قوة سبق الاجهاد'!$G$34*'4- تحقيق الاجهادات الناظمية'!G14/'4- تحقيق الاجهادات الناظمية'!C14-'4- تحقيق الاجهادات الناظمية'!I14/'4- تحقيق الاجهادات الناظمية'!C14)/1000</f>
        <v>-10.724967858783891</v>
      </c>
      <c r="O14" s="187" t="str">
        <f>IF(2.5&gt;N14,IF(N14&gt;'0- المعطيات'!$I$29,"OK"),"Not OK")</f>
        <v>OK</v>
      </c>
      <c r="P14" s="186">
        <f>(-'4 - حساب قوة سبق الاجهاد'!$G$34/'4- تحقيق الاجهادات الناظمية'!B14-'4 - حساب قوة سبق الاجهاد'!$G$34*'4- تحقيق الاجهادات الناظمية'!G14/D14+'4- تحقيق الاجهادات الناظمية'!I14/D14)/1000</f>
        <v>0.68802866135702423</v>
      </c>
      <c r="Q14" s="188" t="str">
        <f>IF(2.5&gt;P14,IF(P14&lt;'0- المعطيات'!$I$30,"OK"),"Not OK")</f>
        <v>OK</v>
      </c>
    </row>
    <row r="15" spans="1:17" ht="20.25" x14ac:dyDescent="0.25">
      <c r="A15" s="184">
        <v>11</v>
      </c>
      <c r="B15" s="185">
        <f>'1- تحديد الأبعاد الأولية'!I30</f>
        <v>0.62999999999999978</v>
      </c>
      <c r="C15" s="185">
        <f>'1- تحديد الأبعاد الأولية'!M30</f>
        <v>0.17486862917398935</v>
      </c>
      <c r="D15" s="185">
        <f>'1- تحديد الأبعاد الأولية'!N30</f>
        <v>0.15331317411402148</v>
      </c>
      <c r="E15" s="185">
        <f>'1- تحديد الأبعاد الأولية'!K30</f>
        <v>0.77261904761904732</v>
      </c>
      <c r="F15" s="185">
        <f>'3- مسار الكابل'!C21</f>
        <v>0.40544444444444427</v>
      </c>
      <c r="G15" s="185">
        <f t="shared" si="0"/>
        <v>0.36717460317460304</v>
      </c>
      <c r="H15" s="185">
        <f>'2-تحديد الحمولات'!C20</f>
        <v>956.31250000000023</v>
      </c>
      <c r="I15" s="185">
        <f>'2-تحديد الحمولات'!F20</f>
        <v>2100.3125</v>
      </c>
      <c r="J15" s="186">
        <f>(-'4 - حساب قوة سبق الاجهاد'!$G$35/'4- تحقيق الاجهادات الناظمية'!B15+'4 - حساب قوة سبق الاجهاد'!$G$35*'4- تحقيق الاجهادات الناظمية'!G15/'4- تحقيق الاجهادات الناظمية'!C15-'4- تحقيق الاجهادات الناظمية'!H15/'4- تحقيق الاجهادات الناظمية'!C15)/1000</f>
        <v>-3.1630271914693742</v>
      </c>
      <c r="K15" s="187" t="str">
        <f>IF(4&gt;J15,IF(J15&lt;'0- المعطيات'!$I$28,"OK"),"Not OK")</f>
        <v>OK</v>
      </c>
      <c r="L15" s="186">
        <f>(-'4 - حساب قوة سبق الاجهاد'!$G$35/'4- تحقيق الاجهادات الناظمية'!B15-'4 - حساب قوة سبق الاجهاد'!$G$35*'4- تحقيق الاجهادات الناظمية'!G15/D15+'4- تحقيق الاجهادات الناظمية'!H15/D15)/1000</f>
        <v>-11.681262834334586</v>
      </c>
      <c r="M15" s="187" t="str">
        <f>IF(4&gt;L15,IF(L15&gt;='0- المعطيات'!$I$27,"OK"),"Not OK")</f>
        <v>OK</v>
      </c>
      <c r="N15" s="186">
        <f>(-'4 - حساب قوة سبق الاجهاد'!$G$34/'4- تحقيق الاجهادات الناظمية'!B15+'4 - حساب قوة سبق الاجهاد'!$G$34*'4- تحقيق الاجهادات الناظمية'!G15/'4- تحقيق الاجهادات الناظمية'!C15-'4- تحقيق الاجهادات الناظمية'!I15/'4- تحقيق الاجهادات الناظمية'!C15)/1000</f>
        <v>-10.217463550935811</v>
      </c>
      <c r="O15" s="187" t="str">
        <f>IF(2.5&gt;N15,IF(N15&gt;'0- المعطيات'!$I$29,"OK"),"Not OK")</f>
        <v>OK</v>
      </c>
      <c r="P15" s="186">
        <f>(-'4 - حساب قوة سبق الاجهاد'!$G$34/'4- تحقيق الاجهادات الناظمية'!B15-'4 - حساب قوة سبق الاجهاد'!$G$34*'4- تحقيق الاجهادات الناظمية'!G15/D15+'4- تحقيق الاجهادات الناظمية'!I15/D15)/1000</f>
        <v>-0.2374336651013382</v>
      </c>
      <c r="Q15" s="188" t="str">
        <f>IF(2.5&gt;P15,IF(P15&lt;'0- المعطيات'!$I$30,"OK"),"Not OK")</f>
        <v>OK</v>
      </c>
    </row>
    <row r="16" spans="1:17" ht="20.25" x14ac:dyDescent="0.25">
      <c r="A16" s="184">
        <v>12</v>
      </c>
      <c r="B16" s="185">
        <f>'1- تحديد الأبعاد الأولية'!I31</f>
        <v>0.65928571428571414</v>
      </c>
      <c r="C16" s="185">
        <f>'1- تحديد الأبعاد الأولية'!M31</f>
        <v>0.17076740912199526</v>
      </c>
      <c r="D16" s="185">
        <f>'1- تحديد الأبعاد الأولية'!N31</f>
        <v>0.15483020948059761</v>
      </c>
      <c r="E16" s="185">
        <f>'1- تحديد الأبعاد الأولية'!K31</f>
        <v>0.73426327193932805</v>
      </c>
      <c r="F16" s="185">
        <f>'3- مسار الكابل'!C22</f>
        <v>0.45399999999999974</v>
      </c>
      <c r="G16" s="185">
        <f t="shared" si="0"/>
        <v>0.28026327193932832</v>
      </c>
      <c r="H16" s="185">
        <f>'2-تحديد الحمولات'!C21</f>
        <v>744.82031250000023</v>
      </c>
      <c r="I16" s="185">
        <f>'2-تحديد الحمولات'!F21</f>
        <v>1635.8203125000002</v>
      </c>
      <c r="J16" s="186">
        <f>(-'4 - حساب قوة سبق الاجهاد'!$G$35/'4- تحقيق الاجهادات الناظمية'!B16+'4 - حساب قوة سبق الاجهاد'!$G$35*'4- تحقيق الاجهادات الناظمية'!G16/'4- تحقيق الاجهادات الناظمية'!C16-'4- تحقيق الاجهادات الناظمية'!H16/'4- تحقيق الاجهادات الناظمية'!C16)/1000</f>
        <v>-3.8018168093577831</v>
      </c>
      <c r="K16" s="187" t="str">
        <f>IF(4&gt;J16,IF(J16&lt;'0- المعطيات'!$I$28,"OK"),"Not OK")</f>
        <v>OK</v>
      </c>
      <c r="L16" s="186">
        <f>(-'4 - حساب قوة سبق الاجهاد'!$G$35/'4- تحقيق الاجهادات الناظمية'!B16-'4 - حساب قوة سبق الاجهاد'!$G$35*'4- تحقيق الاجهادات الناظمية'!G16/D16+'4- تحقيق الاجهادات الناظمية'!H16/D16)/1000</f>
        <v>-10.159647215717481</v>
      </c>
      <c r="M16" s="187" t="str">
        <f>IF(4&gt;L16,IF(L16&gt;='0- المعطيات'!$I$27,"OK"),"Not OK")</f>
        <v>OK</v>
      </c>
      <c r="N16" s="186">
        <f>(-'4 - حساب قوة سبق الاجهاد'!$G$34/'4- تحقيق الاجهادات الناظمية'!B16+'4 - حساب قوة سبق الاجهاد'!$G$34*'4- تحقيق الاجهادات الناظمية'!G16/'4- تحقيق الاجهادات الناظمية'!C16-'4- تحقيق الاجهادات الناظمية'!I16/'4- تحقيق الاجهادات الناظمية'!C16)/1000</f>
        <v>-9.1438378361723149</v>
      </c>
      <c r="O16" s="187" t="str">
        <f>IF(2.5&gt;N16,IF(N16&gt;'0- المعطيات'!$I$29,"OK"),"Not OK")</f>
        <v>OK</v>
      </c>
      <c r="P16" s="186">
        <f>(-'4 - حساب قوة سبق الاجهاد'!$G$34/'4- تحقيق الاجهادات الناظمية'!B16-'4 - حساب قوة سبق الاجهاد'!$G$34*'4- تحقيق الاجهادات الناظمية'!G16/D16+'4- تحقيق الاجهادات الناظمية'!I16/D16)/1000</f>
        <v>-1.0782431546932238</v>
      </c>
      <c r="Q16" s="188" t="str">
        <f>IF(2.5&gt;P16,IF(P16&lt;'0- المعطيات'!$I$30,"OK"),"Not OK")</f>
        <v>OK</v>
      </c>
    </row>
    <row r="17" spans="1:17" ht="20.25" x14ac:dyDescent="0.25">
      <c r="A17" s="184">
        <v>13</v>
      </c>
      <c r="B17" s="185">
        <f>'1- تحديد الأبعاد الأولية'!I32</f>
        <v>0.71571428571428553</v>
      </c>
      <c r="C17" s="185">
        <f>'1- تحديد الأبعاد الأولية'!M32</f>
        <v>0.16983860780047405</v>
      </c>
      <c r="D17" s="185">
        <f>'1- تحديد الأبعاد الأولية'!N32</f>
        <v>0.16174930411653718</v>
      </c>
      <c r="E17" s="185">
        <f>'1- تحديد الأبعاد الأولية'!K32</f>
        <v>0.69146706586826323</v>
      </c>
      <c r="F17" s="185">
        <f>'3- مسار الكابل'!C23</f>
        <v>0.50677777777777755</v>
      </c>
      <c r="G17" s="185">
        <f t="shared" si="0"/>
        <v>0.18468928809048568</v>
      </c>
      <c r="H17" s="185">
        <f>'2-تحديد الحمولات'!C22</f>
        <v>514.93750000000011</v>
      </c>
      <c r="I17" s="185">
        <f>'2-تحديد الحمولات'!F22</f>
        <v>1130.9375</v>
      </c>
      <c r="J17" s="186">
        <f>(-'4 - حساب قوة سبق الاجهاد'!$G$35/'4- تحقيق الاجهادات الناظمية'!B17+'4 - حساب قوة سبق الاجهاد'!$G$35*'4- تحقيق الاجهادات الناظمية'!G17/'4- تحقيق الاجهادات الناظمية'!C17-'4- تحقيق الاجهادات الناظمية'!H17/'4- تحقيق الاجهادات الناظمية'!C17)/1000</f>
        <v>-4.4257786593699509</v>
      </c>
      <c r="K17" s="187" t="str">
        <f>IF(4&gt;J17,IF(J17&lt;'0- المعطيات'!$I$28,"OK"),"Not OK")</f>
        <v>OK</v>
      </c>
      <c r="L17" s="186">
        <f>(-'4 - حساب قوة سبق الاجهاد'!$G$35/'4- تحقيق الاجهادات الناظمية'!B17-'4 - حساب قوة سبق الاجهاد'!$G$35*'4- تحقيق الاجهادات الناظمية'!G17/D17+'4- تحقيق الاجهادات الناظمية'!H17/D17)/1000</f>
        <v>-8.2413502096772504</v>
      </c>
      <c r="M17" s="187" t="str">
        <f>IF(4&gt;L17,IF(L17&gt;='0- المعطيات'!$I$27,"OK"),"Not OK")</f>
        <v>OK</v>
      </c>
      <c r="N17" s="186">
        <f>(-'4 - حساب قوة سبق الاجهاد'!$G$34/'4- تحقيق الاجهادات الناظمية'!B17+'4 - حساب قوة سبق الاجهاد'!$G$34*'4- تحقيق الاجهادات الناظمية'!G17/'4- تحقيق الاجهادات الناظمية'!C17-'4- تحقيق الاجهادات الناظمية'!I17/'4- تحقيق الاجهادات الناظمية'!C17)/1000</f>
        <v>-7.7430055868670209</v>
      </c>
      <c r="O17" s="187" t="str">
        <f>IF(2.5&gt;N17,IF(N17&gt;'0- المعطيات'!$I$29,"OK"),"Not OK")</f>
        <v>OK</v>
      </c>
      <c r="P17" s="186">
        <f>(-'4 - حساب قوة سبق الاجهاد'!$G$34/'4- تحقيق الاجهادات الناظمية'!B17-'4 - حساب قوة سبق الاجهاد'!$G$34*'4- تحقيق الاجهادات الناظمية'!G17/D17+'4- تحقيق الاجهادات الناظمية'!I17/D17)/1000</f>
        <v>-1.894120207833881</v>
      </c>
      <c r="Q17" s="188" t="str">
        <f>IF(2.5&gt;P17,IF(P17&lt;'0- المعطيات'!$I$30,"OK"),"Not OK")</f>
        <v>OK</v>
      </c>
    </row>
    <row r="18" spans="1:17" ht="20.25" x14ac:dyDescent="0.25">
      <c r="A18" s="184">
        <v>14</v>
      </c>
      <c r="B18" s="185">
        <f>'1- تحديد الأبعاد الأولية'!I33</f>
        <v>0.76499999999999979</v>
      </c>
      <c r="C18" s="185">
        <f>'1- تحديد الأبعاد الأولية'!M33</f>
        <v>0.16714241105223304</v>
      </c>
      <c r="D18" s="185">
        <f>'1- تحديد الأبعاد الأولية'!N33</f>
        <v>0.16588664537941386</v>
      </c>
      <c r="E18" s="185">
        <f>'1- تحديد الأبعاد الأولية'!K33</f>
        <v>0.65245098039215654</v>
      </c>
      <c r="F18" s="185">
        <f>'3- مسار الكابل'!C24</f>
        <v>0.56377777777777749</v>
      </c>
      <c r="G18" s="185">
        <f t="shared" si="0"/>
        <v>8.8673202614379054E-2</v>
      </c>
      <c r="H18" s="185">
        <f>'2-تحديد الحمولات'!C23</f>
        <v>266.66406250000006</v>
      </c>
      <c r="I18" s="185">
        <f>'2-تحديد الحمولات'!F23</f>
        <v>585.6640625</v>
      </c>
      <c r="J18" s="186">
        <f>(-'4 - حساب قوة سبق الاجهاد'!$G$35/'4- تحقيق الاجهادات الناظمية'!B18+'4 - حساب قوة سبق الاجهاد'!$G$35*'4- تحقيق الاجهادات الناظمية'!G18/'4- تحقيق الاجهادات الناظمية'!C18-'4- تحقيق الاجهادات الناظمية'!H18/'4- تحقيق الاجهادات الناظمية'!C18)/1000</f>
        <v>-5.0901977080993088</v>
      </c>
      <c r="K18" s="187" t="str">
        <f>IF(4&gt;J18,IF(J18&lt;'0- المعطيات'!$I$28,"OK"),"Not OK")</f>
        <v>OK</v>
      </c>
      <c r="L18" s="186">
        <f>(-'4 - حساب قوة سبق الاجهاد'!$G$35/'4- تحقيق الاجهادات الناظمية'!B18-'4 - حساب قوة سبق الاجهاد'!$G$35*'4- تحقيق الاجهادات الناظمية'!G18/D18+'4- تحقيق الاجهادات الناظمية'!H18/D18)/1000</f>
        <v>-6.6797490162905557</v>
      </c>
      <c r="M18" s="187" t="str">
        <f>IF(4&gt;L18,IF(L18&gt;='0- المعطيات'!$I$27,"OK"),"Not OK")</f>
        <v>OK</v>
      </c>
      <c r="N18" s="186">
        <f>(-'4 - حساب قوة سبق الاجهاد'!$G$34/'4- تحقيق الاجهادات الناظمية'!B18+'4 - حساب قوة سبق الاجهاد'!$G$34*'4- تحقيق الاجهادات الناظمية'!G18/'4- تحقيق الاجهادات الناظمية'!C18-'4- تحقيق الاجهادات الناظمية'!I18/'4- تحقيق الاجهادات الناظمية'!C18)/1000</f>
        <v>-6.2221348248449813</v>
      </c>
      <c r="O18" s="187" t="str">
        <f>IF(2.5&gt;N18,IF(N18&gt;'0- المعطيات'!$I$29,"OK"),"Not OK")</f>
        <v>OK</v>
      </c>
      <c r="P18" s="186">
        <f>(-'4 - حساب قوة سبق الاجهاد'!$G$34/'4- تحقيق الاجهادات الناظمية'!B18-'4 - حساب قوة سبق الاجهاد'!$G$34*'4- تحقيق الاجهادات الناظمية'!G18/D18+'4- تحقيق الاجهادات الناظمية'!I18/D18)/1000</f>
        <v>-2.9151365239449909</v>
      </c>
      <c r="Q18" s="188" t="str">
        <f>IF(2.5&gt;P18,IF(P18&lt;'0- المعطيات'!$I$30,"OK"),"Not OK")</f>
        <v>OK</v>
      </c>
    </row>
    <row r="19" spans="1:17" ht="21" thickBot="1" x14ac:dyDescent="0.3">
      <c r="A19" s="189">
        <v>15</v>
      </c>
      <c r="B19" s="190">
        <f>'1- تحديد الأبعاد الأولية'!I34</f>
        <v>0.74999999999999956</v>
      </c>
      <c r="C19" s="185">
        <f>'1- تحديد الأبعاد الأولية'!M34</f>
        <v>0.15624999999999981</v>
      </c>
      <c r="D19" s="190">
        <f>'1- تحديد الأبعاد الأولية'!N34</f>
        <v>0.15624999999999981</v>
      </c>
      <c r="E19" s="190">
        <f>'1- تحديد الأبعاد الأولية'!K34</f>
        <v>0.62499999999999967</v>
      </c>
      <c r="F19" s="190">
        <f>'3- مسار الكابل'!C25</f>
        <v>0.62499999999999967</v>
      </c>
      <c r="G19" s="190">
        <f t="shared" si="0"/>
        <v>0</v>
      </c>
      <c r="H19" s="190">
        <f>'2-تحديد الحمولات'!C24</f>
        <v>0</v>
      </c>
      <c r="I19" s="190">
        <f>'2-تحديد الحمولات'!F24</f>
        <v>0</v>
      </c>
      <c r="J19" s="191">
        <f>(-'4 - حساب قوة سبق الاجهاد'!$G$35/'4- تحقيق الاجهادات الناظمية'!B19+'4 - حساب قوة سبق الاجهاد'!$G$35*'4- تحقيق الاجهادات الناظمية'!G19/'4- تحقيق الاجهادات الناظمية'!C19-'4- تحقيق الاجهادات الناظمية'!H19/'4- تحقيق الاجهادات الناظمية'!C19)/1000</f>
        <v>-5.9996160000000049</v>
      </c>
      <c r="K19" s="338" t="str">
        <f>IF(4&gt;J19,IF(J19&lt;'0- المعطيات'!$I$28,"OK"),"Not OK")</f>
        <v>OK</v>
      </c>
      <c r="L19" s="191">
        <f>(-'4 - حساب قوة سبق الاجهاد'!$G$35/'4- تحقيق الاجهادات الناظمية'!B19-'4 - حساب قوة سبق الاجهاد'!$G$35*'4- تحقيق الاجهادات الناظمية'!G19/D19+'4- تحقيق الاجهادات الناظمية'!H19/D19)/1000</f>
        <v>-5.9996160000000049</v>
      </c>
      <c r="M19" s="338" t="str">
        <f>IF(4&gt;L19,IF(L19&gt;='0- المعطيات'!$I$27,"OK"),"Not OK")</f>
        <v>OK</v>
      </c>
      <c r="N19" s="191">
        <f>(-'4 - حساب قوة سبق الاجهاد'!$G$34/'4- تحقيق الاجهادات الناظمية'!B19+'4 - حساب قوة سبق الاجهاد'!$G$34*'4- تحقيق الاجهادات الناظمية'!G19/'4- تحقيق الاجهادات الناظمية'!C19-'4- تحقيق الاجهادات الناظمية'!I19/'4- تحقيق الاجهادات الناظمية'!C19)/1000</f>
        <v>-4.6663680000000021</v>
      </c>
      <c r="O19" s="338" t="str">
        <f>IF(2.5&gt;N19,IF(N19&gt;'0- المعطيات'!$I$29,"OK"),"Not OK")</f>
        <v>OK</v>
      </c>
      <c r="P19" s="191">
        <f>(-'4 - حساب قوة سبق الاجهاد'!$G$34/'4- تحقيق الاجهادات الناظمية'!B19-'4 - حساب قوة سبق الاجهاد'!$G$34*'4- تحقيق الاجهادات الناظمية'!G19/D19+'4- تحقيق الاجهادات الناظمية'!I19/D19)/1000</f>
        <v>-4.6663680000000021</v>
      </c>
      <c r="Q19" s="339" t="str">
        <f>IF(2.5&gt;P19,IF(P19&lt;'0- المعطيات'!$I$30,"OK"),"Not OK")</f>
        <v>OK</v>
      </c>
    </row>
  </sheetData>
  <mergeCells count="12">
    <mergeCell ref="A1:Q1"/>
    <mergeCell ref="A2:A3"/>
    <mergeCell ref="B2:B3"/>
    <mergeCell ref="C2:C3"/>
    <mergeCell ref="E2:E3"/>
    <mergeCell ref="F2:F3"/>
    <mergeCell ref="G2:G3"/>
    <mergeCell ref="D2:D3"/>
    <mergeCell ref="H2:H3"/>
    <mergeCell ref="J2:M2"/>
    <mergeCell ref="N2:Q2"/>
    <mergeCell ref="I2:I3"/>
  </mergeCells>
  <printOptions horizontalCentered="1" verticalCentered="1"/>
  <pageMargins left="0.7" right="0.7" top="0.75" bottom="0.75" header="0.3" footer="0.3"/>
  <pageSetup paperSize="9" scale="63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S25"/>
  <sheetViews>
    <sheetView showGridLines="0" topLeftCell="B1" zoomScale="60" zoomScaleNormal="60" workbookViewId="0">
      <selection activeCell="B1" sqref="B1:S25"/>
    </sheetView>
  </sheetViews>
  <sheetFormatPr defaultColWidth="9" defaultRowHeight="20.25" x14ac:dyDescent="0.25"/>
  <cols>
    <col min="1" max="1" width="9" style="102" hidden="1" customWidth="1"/>
    <col min="2" max="2" width="16" style="102" customWidth="1"/>
    <col min="3" max="3" width="13.28515625" style="102" hidden="1" customWidth="1"/>
    <col min="4" max="4" width="21" style="102" customWidth="1"/>
    <col min="5" max="5" width="20.42578125" style="102" customWidth="1"/>
    <col min="6" max="6" width="27.140625" style="102" customWidth="1"/>
    <col min="7" max="7" width="11.85546875" style="102" hidden="1" customWidth="1"/>
    <col min="8" max="8" width="18.7109375" style="102" hidden="1" customWidth="1"/>
    <col min="9" max="9" width="16.85546875" style="102" customWidth="1"/>
    <col min="10" max="10" width="11.5703125" style="247" customWidth="1"/>
    <col min="11" max="11" width="10.5703125" style="247" customWidth="1"/>
    <col min="12" max="12" width="11.85546875" style="247" bestFit="1" customWidth="1"/>
    <col min="13" max="13" width="16.140625" style="102" customWidth="1"/>
    <col min="14" max="14" width="12.7109375" style="248" hidden="1" customWidth="1"/>
    <col min="15" max="15" width="11.85546875" style="102" hidden="1" customWidth="1"/>
    <col min="16" max="16" width="22.85546875" style="102" customWidth="1"/>
    <col min="17" max="17" width="18.5703125" style="249" bestFit="1" customWidth="1"/>
    <col min="18" max="18" width="13.42578125" style="102" bestFit="1" customWidth="1"/>
    <col min="19" max="19" width="11.42578125" style="249" customWidth="1"/>
    <col min="20" max="16384" width="9" style="102"/>
  </cols>
  <sheetData>
    <row r="1" spans="1:19" ht="27.75" customHeight="1" thickBot="1" x14ac:dyDescent="0.3">
      <c r="B1" s="460" t="s">
        <v>359</v>
      </c>
      <c r="C1" s="461"/>
      <c r="D1" s="461"/>
      <c r="E1" s="461"/>
      <c r="F1" s="462"/>
      <c r="G1" s="461"/>
      <c r="H1" s="462"/>
    </row>
    <row r="2" spans="1:19" x14ac:dyDescent="0.25">
      <c r="B2" s="474" t="s">
        <v>345</v>
      </c>
      <c r="C2" s="474"/>
      <c r="D2" s="474"/>
      <c r="E2" s="306">
        <f>IF(H2&lt;'1- تحديد الأبعاد الأولية'!I3*1000,H2,H3)</f>
        <v>400.1764705882353</v>
      </c>
      <c r="F2" s="306" t="s">
        <v>27</v>
      </c>
      <c r="G2" s="306"/>
      <c r="H2" s="306">
        <f>'4 - حساب قوة سبق الاجهاد'!$C$34*'0- المعطيات'!I22/(0.85*'1- تحديد الأبعاد الأولية'!K1*1000*'0- المعطيات'!I23)</f>
        <v>350.11764705882354</v>
      </c>
    </row>
    <row r="3" spans="1:19" x14ac:dyDescent="0.25">
      <c r="H3" s="254">
        <v>400.1764705882353</v>
      </c>
    </row>
    <row r="4" spans="1:19" x14ac:dyDescent="0.25">
      <c r="B4" s="473" t="s">
        <v>346</v>
      </c>
      <c r="C4" s="473"/>
      <c r="D4" s="473"/>
    </row>
    <row r="5" spans="1:19" x14ac:dyDescent="0.25">
      <c r="B5" s="254"/>
      <c r="C5" s="254" t="s">
        <v>5</v>
      </c>
      <c r="D5" s="254">
        <f>'0- المعطيات'!I22/'0- المعطيات'!I32/1000</f>
        <v>9.300000000000001E-3</v>
      </c>
    </row>
    <row r="6" spans="1:19" ht="16.5" customHeight="1" x14ac:dyDescent="0.25"/>
    <row r="7" spans="1:19" ht="41.25" customHeight="1" x14ac:dyDescent="0.25">
      <c r="B7" s="115" t="s">
        <v>347</v>
      </c>
      <c r="C7" s="115"/>
      <c r="D7" s="250" t="s">
        <v>348</v>
      </c>
      <c r="E7" s="115" t="s">
        <v>349</v>
      </c>
      <c r="F7" s="115" t="s">
        <v>350</v>
      </c>
      <c r="G7" s="115"/>
      <c r="H7" s="250" t="s">
        <v>351</v>
      </c>
      <c r="I7" s="250" t="s">
        <v>351</v>
      </c>
      <c r="J7" s="251"/>
      <c r="K7" s="251"/>
      <c r="L7" s="251"/>
      <c r="M7" s="250" t="s">
        <v>352</v>
      </c>
      <c r="N7" s="252"/>
      <c r="O7" s="115"/>
      <c r="P7" s="250" t="s">
        <v>353</v>
      </c>
      <c r="Q7" s="253" t="s">
        <v>354</v>
      </c>
      <c r="R7" s="115" t="s">
        <v>355</v>
      </c>
      <c r="S7" s="253" t="s">
        <v>356</v>
      </c>
    </row>
    <row r="8" spans="1:19" x14ac:dyDescent="0.25">
      <c r="A8" s="102">
        <f>S8</f>
        <v>0.78055799596063857</v>
      </c>
      <c r="B8" s="258">
        <f>'2-تحديد الحمولات'!A9</f>
        <v>0</v>
      </c>
      <c r="C8" s="82">
        <f>'2-تحديد الحمولات'!G9*10^6-0.9*0.85*'0- المعطيات'!$I$23*('1- تحديد الأبعاد الأولية'!D19*1000-'3- مسار الكابل'!C10*1000-E8/2)*E8*'1- تحديد الأبعاد الأولية'!$K$1*1000</f>
        <v>0</v>
      </c>
      <c r="D8" s="255">
        <f>'2-تحديد الحمولات'!G9</f>
        <v>7322.1679687500009</v>
      </c>
      <c r="E8" s="82">
        <v>265.40786071015754</v>
      </c>
      <c r="F8" s="82" t="str">
        <f>IF(E8&gt;'[1]1- تحديد الأبعاد الأولية'!$I$3*1000," المحور المحايد في الجسد","المحور المحايد في الجناح")</f>
        <v xml:space="preserve"> المحور المحايد في الجسد</v>
      </c>
      <c r="G8" s="82">
        <f>'2-تحديد الحمولات'!G9*10^6-0.9*0.85*'0- المعطيات'!$I$23*(('1- تحديد الأبعاد الأولية'!$K$1-'1- تحديد الأبعاد الأولية'!$I$12)*1000*'1- تحديد الأبعاد الأولية'!$I$3*1000*('1- تحديد الأبعاد الأولية'!$D19*1000-'3- مسار الكابل'!$C10*1000-'1- تحديد الأبعاد الأولية'!$I$3*1000/2)+'1- تحديد الأبعاد الأولية'!$I$12*1000*('1- تحديد الأبعاد الأولية'!$D19*1000-'3- مسار الكابل'!$C10*1000-H8/2)*H8)</f>
        <v>0</v>
      </c>
      <c r="H8" s="82">
        <v>273.16824871873587</v>
      </c>
      <c r="I8" s="82">
        <f>IF(E8/1000&gt;'1- تحديد الأبعاد الأولية'!I3,H8,E8)</f>
        <v>273.16824871873587</v>
      </c>
      <c r="J8" s="256">
        <f>'0- المعطيات'!I24*0.7/'0- المعطيات'!I32/1000</f>
        <v>5.2079999999999991E-3</v>
      </c>
      <c r="K8" s="256">
        <f>0.003*('1- تحديد الأبعاد الأولية'!D19*1000-'3- مسار الكابل'!C10*1000-'5-تحقيق العزم في مرحلة الانكسار'!$E$2/0.85)/'5-تحقيق العزم في مرحلة الانكسار'!$E$2*0.85</f>
        <v>8.7885491694840515E-3</v>
      </c>
      <c r="L8" s="256">
        <f>J8+K8</f>
        <v>1.3996549169484051E-2</v>
      </c>
      <c r="M8" s="82" t="str">
        <f t="shared" ref="M8:M23" si="0">IF($D$5&lt;L8,"وصل لسيلان","لم يصل لسيلان")</f>
        <v>وصل لسيلان</v>
      </c>
      <c r="N8" s="255">
        <f>'4 - حساب قوة سبق الاجهاد'!$C$34*'0- المعطيات'!$I$32*1000*('0- المعطيات'!$I$24/'0- المعطيات'!$I$32/1000+0.003*('1- تحديد الأبعاد الأولية'!D19*1000-'3- مسار الكابل'!C10*1000-'5-تحقيق العزم في مرحلة الانكسار'!O8/0.85)/'5-تحقيق العزم في مرحلة الانكسار'!O8*0.85)-0.85 *'0- المعطيات'!$I$23*(('1- تحديد الأبعاد الأولية'!$K$1-'1- تحديد الأبعاد الأولية'!$I$12)*'1- تحديد الأبعاد الأولية'!$I$3*1000000+'1- تحديد الأبعاد الأولية'!$I$12*1000*'5-تحقيق العزم في مرحلة الانكسار'!O8)</f>
        <v>-2.6077032089233398E-7</v>
      </c>
      <c r="O8" s="82">
        <v>582.81852233693724</v>
      </c>
      <c r="P8" s="82">
        <f t="shared" ref="P8:P23" si="1">IF($D$5&lt;L8,$E$2,O8)</f>
        <v>400.1764705882353</v>
      </c>
      <c r="Q8" s="257">
        <f>(0.9*0.85*'0- المعطيات'!$I$23*(('1- تحديد الأبعاد الأولية'!$K$1-'1- تحديد الأبعاد الأولية'!$I$12)*1000*'1- تحديد الأبعاد الأولية'!$I$3*1000*('1- تحديد الأبعاد الأولية'!$D19*1000-'3- مسار الكابل'!$C10*1000-'1- تحديد الأبعاد الأولية'!$I$3*1000/2)+'1- تحديد الأبعاد الأولية'!$I$12*1000*('1- تحديد الأبعاد الأولية'!$D19*1000-'3- مسار الكابل'!$C10*1000-P8/2)*P8))/10^6</f>
        <v>9380.6840832352937</v>
      </c>
      <c r="R8" s="82" t="str">
        <f>IF( Q8&lt;D8,"المقطع غير محقق"," المقطع محقق")</f>
        <v xml:space="preserve"> المقطع محقق</v>
      </c>
      <c r="S8" s="257">
        <f>D8/Q8</f>
        <v>0.78055799596063857</v>
      </c>
    </row>
    <row r="9" spans="1:19" x14ac:dyDescent="0.25">
      <c r="A9" s="102">
        <f t="shared" ref="A9:A23" si="2">S9</f>
        <v>0.80215268862057976</v>
      </c>
      <c r="B9" s="258">
        <f>'2-تحديد الحمولات'!A10</f>
        <v>1</v>
      </c>
      <c r="C9" s="82">
        <f>'2-تحديد الحمولات'!G10*10^6-0.9*0.85*'0- المعطيات'!$I$23*('1- تحديد الأبعاد الأولية'!D20*1000-'3- مسار الكابل'!C11*1000-E9/2)*E9*'1- تحديد الأبعاد الأولية'!$K$1*1000</f>
        <v>0</v>
      </c>
      <c r="D9" s="255">
        <f>'2-تحديد الحمولات'!G10</f>
        <v>7289.6250000000009</v>
      </c>
      <c r="E9" s="82">
        <v>273.1305090395299</v>
      </c>
      <c r="F9" s="82" t="str">
        <f>IF(E9&gt;'[1]1- تحديد الأبعاد الأولية'!$I$3*1000," المحور المحايد في الجسد","المحور المحايد في الجناح")</f>
        <v xml:space="preserve"> المحور المحايد في الجسد</v>
      </c>
      <c r="G9" s="82">
        <f>'2-تحديد الحمولات'!G10*10^6-0.9*0.85*'0- المعطيات'!$I$23*(('1- تحديد الأبعاد الأولية'!$K$1-'1- تحديد الأبعاد الأولية'!$I$12)*1000*'1- تحديد الأبعاد الأولية'!$I$3*1000*('1- تحديد الأبعاد الأولية'!$D20*1000-'3- مسار الكابل'!$C11*1000-'1- تحديد الأبعاد الأولية'!$I$3*1000/2)+'1- تحديد الأبعاد الأولية'!$I$12*1000*('1- تحديد الأبعاد الأولية'!$D20*1000-'3- مسار الكابل'!$C11*1000-H9/2)*H9)</f>
        <v>0</v>
      </c>
      <c r="H9" s="82">
        <v>284.8283583057854</v>
      </c>
      <c r="I9" s="82">
        <f>IF(E9/1000&gt;'1- تحديد الأبعاد الأولية'!I4,H9,E9)</f>
        <v>284.8283583057854</v>
      </c>
      <c r="J9" s="256">
        <f>J8</f>
        <v>5.2079999999999991E-3</v>
      </c>
      <c r="K9" s="256">
        <f>0.003*('1- تحديد الأبعاد الأولية'!D20*1000-'3- مسار الكابل'!C11*1000-'5-تحقيق العزم في مرحلة الانكسار'!$E$2/0.85)/'5-تحقيق العزم في مرحلة الانكسار'!$E$2*0.85</f>
        <v>8.4564873340193056E-3</v>
      </c>
      <c r="L9" s="256">
        <f t="shared" ref="L9:L23" si="3">J9+K9</f>
        <v>1.3664487334019305E-2</v>
      </c>
      <c r="M9" s="82" t="str">
        <f t="shared" si="0"/>
        <v>وصل لسيلان</v>
      </c>
      <c r="N9" s="255">
        <f>'4 - حساب قوة سبق الاجهاد'!$C$34*'0- المعطيات'!$I$32*1000*('0- المعطيات'!$I$24/'0- المعطيات'!$I$32/1000+0.003*('1- تحديد الأبعاد الأولية'!D20*1000-'3- مسار الكابل'!C11*1000-'5-تحقيق العزم في مرحلة الانكسار'!O9/0.85)/'5-تحقيق العزم في مرحلة الانكسار'!O9*0.85)-0.85 *'0- المعطيات'!$I$23*(('1- تحديد الأبعاد الأولية'!$K$1-'1- تحديد الأبعاد الأولية'!$I$12)*'1- تحديد الأبعاد الأولية'!$I$3*1000000+'1- تحديد الأبعاد الأولية'!$I$12*1000*'5-تحقيق العزم في مرحلة الانكسار'!O9)</f>
        <v>-2.9429793357849121E-7</v>
      </c>
      <c r="O9" s="82">
        <v>575.55171687998779</v>
      </c>
      <c r="P9" s="82">
        <f t="shared" si="1"/>
        <v>400.1764705882353</v>
      </c>
      <c r="Q9" s="257">
        <f>(0.9*0.85*'0- المعطيات'!$I$23*(('1- تحديد الأبعاد الأولية'!$K$1-'1- تحديد الأبعاد الأولية'!$I$12)*1000*'1- تحديد الأبعاد الأولية'!$I$3*1000*('1- تحديد الأبعاد الأولية'!$D20*1000-'3- مسار الكابل'!$C11*1000-'1- تحديد الأبعاد الأولية'!$I$3*1000/2)+'1- تحديد الأبعاد الأولية'!$I$12*1000*('1- تحديد الأبعاد الأولية'!$D20*1000-'3- مسار الكابل'!$C11*1000-P9/2)*P9))/10^6</f>
        <v>9087.5778432352945</v>
      </c>
      <c r="R9" s="82" t="str">
        <f t="shared" ref="R9:R23" si="4">IF( Q9&lt;D9,"المقطع غير محقق"," المقطع محقق")</f>
        <v xml:space="preserve"> المقطع محقق</v>
      </c>
      <c r="S9" s="257">
        <f t="shared" ref="S9:S23" si="5">D9/Q9</f>
        <v>0.80215268862057976</v>
      </c>
    </row>
    <row r="10" spans="1:19" x14ac:dyDescent="0.25">
      <c r="A10" s="102">
        <f t="shared" si="2"/>
        <v>0.82000035717659936</v>
      </c>
      <c r="B10" s="258">
        <f>'2-تحديد الحمولات'!A11</f>
        <v>2</v>
      </c>
      <c r="C10" s="82">
        <f>'2-تحديد الحمولات'!G11*10^6-0.9*0.85*'0- المعطيات'!$I$23*('1- تحديد الأبعاد الأولية'!D21*1000-'3- مسار الكابل'!C12*1000-E10/2)*E10*'1- تحديد الأبعاد الأولية'!$K$1*1000</f>
        <v>0</v>
      </c>
      <c r="D10" s="255">
        <f>'2-تحديد الحمولات'!G11</f>
        <v>7191.9960937500009</v>
      </c>
      <c r="E10" s="82">
        <v>279.48385761738103</v>
      </c>
      <c r="F10" s="82" t="str">
        <f>IF(E10&gt;'[1]1- تحديد الأبعاد الأولية'!$I$3*1000," المحور المحايد في الجسد","المحور المحايد في الجناح")</f>
        <v xml:space="preserve"> المحور المحايد في الجسد</v>
      </c>
      <c r="G10" s="82">
        <f>'2-تحديد الحمولات'!G11*10^6-0.9*0.85*'0- المعطيات'!$I$23*(('1- تحديد الأبعاد الأولية'!$K$1-'1- تحديد الأبعاد الأولية'!$I$12)*1000*'1- تحديد الأبعاد الأولية'!$I$3*1000*('1- تحديد الأبعاد الأولية'!$D21*1000-'3- مسار الكابل'!$C12*1000-'1- تحديد الأبعاد الأولية'!$I$3*1000/2)+'1- تحديد الأبعاد الأولية'!$I$12*1000*('1- تحديد الأبعاد الأولية'!$D21*1000-'3- مسار الكابل'!$C12*1000-H10/2)*H10)</f>
        <v>0</v>
      </c>
      <c r="H10" s="82">
        <v>294.45103714183591</v>
      </c>
      <c r="I10" s="82">
        <f>IF(E10/1000&gt;'1- تحديد الأبعاد الأولية'!I5,H10,E10)</f>
        <v>294.45103714183591</v>
      </c>
      <c r="J10" s="256">
        <f t="shared" ref="J10:J23" si="6">J9</f>
        <v>5.2079999999999991E-3</v>
      </c>
      <c r="K10" s="256">
        <f>0.003*('1- تحديد الأبعاد الأولية'!D21*1000-'3- مسار الكابل'!C12*1000-'5-تحقيق العزم في مرحلة الانكسار'!$E$2/0.85)/'5-تحقيق العزم في مرحلة الانكسار'!$E$2*0.85</f>
        <v>8.0975207016512341E-3</v>
      </c>
      <c r="L10" s="256">
        <f t="shared" si="3"/>
        <v>1.3305520701651233E-2</v>
      </c>
      <c r="M10" s="82" t="str">
        <f t="shared" si="0"/>
        <v>وصل لسيلان</v>
      </c>
      <c r="N10" s="255">
        <f>'4 - حساب قوة سبق الاجهاد'!$C$34*'0- المعطيات'!$I$32*1000*('0- المعطيات'!$I$24/'0- المعطيات'!$I$32/1000+0.003*('1- تحديد الأبعاد الأولية'!D21*1000-'3- مسار الكابل'!C12*1000-'5-تحقيق العزم في مرحلة الانكسار'!O10/0.85)/'5-تحقيق العزم في مرحلة الانكسار'!O10*0.85)-0.85 *'0- المعطيات'!$I$23*(('1- تحديد الأبعاد الأولية'!$K$1-'1- تحديد الأبعاد الأولية'!$I$12)*'1- تحديد الأبعاد الأولية'!$I$3*1000000+'1- تحديد الأبعاد الأولية'!$I$12*1000*'5-تحقيق العزم في مرحلة الانكسار'!O10)</f>
        <v>-2.0302832126617432E-7</v>
      </c>
      <c r="O10" s="82">
        <v>567.5784576721021</v>
      </c>
      <c r="P10" s="82">
        <f t="shared" si="1"/>
        <v>400.1764705882353</v>
      </c>
      <c r="Q10" s="257">
        <f>(0.9*0.85*'0- المعطيات'!$I$23*(('1- تحديد الأبعاد الأولية'!$K$1-'1- تحديد الأبعاد الأولية'!$I$12)*1000*'1- تحديد الأبعاد الأولية'!$I$3*1000*('1- تحديد الأبعاد الأولية'!$D21*1000-'3- مسار الكابل'!$C12*1000-'1- تحديد الأبعاد الأولية'!$I$3*1000/2)+'1- تحديد الأبعاد الأولية'!$I$12*1000*('1- تحديد الأبعاد الأولية'!$D21*1000-'3- مسار الكابل'!$C12*1000-P10/2)*P10))/10^6</f>
        <v>8770.7231232352951</v>
      </c>
      <c r="R10" s="82" t="str">
        <f t="shared" si="4"/>
        <v xml:space="preserve"> المقطع محقق</v>
      </c>
      <c r="S10" s="257">
        <f t="shared" si="5"/>
        <v>0.82000035717659936</v>
      </c>
    </row>
    <row r="11" spans="1:19" x14ac:dyDescent="0.25">
      <c r="A11" s="102">
        <f t="shared" si="2"/>
        <v>0.8338293303071207</v>
      </c>
      <c r="B11" s="258">
        <f>'2-تحديد الحمولات'!A12</f>
        <v>3</v>
      </c>
      <c r="C11" s="82">
        <f>'2-تحديد الحمولات'!G12*10^6-0.9*0.85*'0- المعطيات'!$I$23*('1- تحديد الأبعاد الأولية'!D22*1000-'3- مسار الكابل'!C13*1000-E11/2)*E11*'1- تحديد الأبعاد الأولية'!$K$1*1000</f>
        <v>0</v>
      </c>
      <c r="D11" s="255">
        <f>'2-تحديد الحمولات'!G12</f>
        <v>7029.2812500000009</v>
      </c>
      <c r="E11" s="82">
        <v>284.34114473748713</v>
      </c>
      <c r="F11" s="82" t="str">
        <f>IF(E11&gt;'[1]1- تحديد الأبعاد الأولية'!$I$3*1000," المحور المحايد في الجسد","المحور المحايد في الجناح")</f>
        <v xml:space="preserve"> المحور المحايد في الجسد</v>
      </c>
      <c r="G11" s="82">
        <f>'2-تحديد الحمولات'!G12*10^6-0.9*0.85*'0- المعطيات'!$I$23*(('1- تحديد الأبعاد الأولية'!$K$1-'1- تحديد الأبعاد الأولية'!$I$12)*1000*'1- تحديد الأبعاد الأولية'!$I$3*1000*('1- تحديد الأبعاد الأولية'!$D22*1000-'3- مسار الكابل'!$C13*1000-'1- تحديد الأبعاد الأولية'!$I$3*1000/2)+'1- تحديد الأبعاد الأولية'!$I$12*1000*('1- تحديد الأبعاد الأولية'!$D22*1000-'3- مسار الكابل'!$C13*1000-H11/2)*H11)</f>
        <v>0</v>
      </c>
      <c r="H11" s="82">
        <v>301.83233906287177</v>
      </c>
      <c r="I11" s="82">
        <f>IF(E11/1000&gt;'1- تحديد الأبعاد الأولية'!I6,H11,E11)</f>
        <v>301.83233906287177</v>
      </c>
      <c r="J11" s="256">
        <f t="shared" si="6"/>
        <v>5.2079999999999991E-3</v>
      </c>
      <c r="K11" s="256">
        <f>0.003*('1- تحديد الأبعاد الأولية'!D22*1000-'3- مسار الكابل'!C13*1000-'5-تحقيق العزم في مرحلة الانكسار'!$E$2/0.85)/'5-تحقيق العزم في مرحلة الانكسار'!$E$2*0.85</f>
        <v>7.7116492723798306E-3</v>
      </c>
      <c r="L11" s="256">
        <f t="shared" si="3"/>
        <v>1.2919649272379829E-2</v>
      </c>
      <c r="M11" s="82" t="str">
        <f t="shared" si="0"/>
        <v>وصل لسيلان</v>
      </c>
      <c r="N11" s="255">
        <f>'4 - حساب قوة سبق الاجهاد'!$C$34*'0- المعطيات'!$I$32*1000*('0- المعطيات'!$I$24/'0- المعطيات'!$I$32/1000+0.003*('1- تحديد الأبعاد الأولية'!D22*1000-'3- مسار الكابل'!C13*1000-'5-تحقيق العزم في مرحلة الانكسار'!O11/0.85)/'5-تحقيق العزم في مرحلة الانكسار'!O11*0.85)-0.85 *'0- المعطيات'!$I$23*(('1- تحديد الأبعاد الأولية'!$K$1-'1- تحديد الأبعاد الأولية'!$I$12)*'1- تحديد الأبعاد الأولية'!$I$3*1000000+'1- تحديد الأبعاد الأولية'!$I$12*1000*'5-تحقيق العزم في مرحلة الانكسار'!O11)</f>
        <v>-4.4051557779312134E-7</v>
      </c>
      <c r="O11" s="82">
        <v>558.8646768961579</v>
      </c>
      <c r="P11" s="82">
        <f t="shared" si="1"/>
        <v>400.1764705882353</v>
      </c>
      <c r="Q11" s="257">
        <f>(0.9*0.85*'0- المعطيات'!$I$23*(('1- تحديد الأبعاد الأولية'!$K$1-'1- تحديد الأبعاد الأولية'!$I$12)*1000*'1- تحديد الأبعاد الأولية'!$I$3*1000*('1- تحديد الأبعاد الأولية'!$D22*1000-'3- مسار الكابل'!$C13*1000-'1- تحديد الأبعاد الأولية'!$I$3*1000/2)+'1- تحديد الأبعاد الأولية'!$I$12*1000*('1- تحديد الأبعاد الأولية'!$D22*1000-'3- مسار الكابل'!$C13*1000-P11/2)*P11))/10^6</f>
        <v>8430.1199232352938</v>
      </c>
      <c r="R11" s="82" t="str">
        <f t="shared" si="4"/>
        <v xml:space="preserve"> المقطع محقق</v>
      </c>
      <c r="S11" s="257">
        <f t="shared" si="5"/>
        <v>0.8338293303071207</v>
      </c>
    </row>
    <row r="12" spans="1:19" x14ac:dyDescent="0.25">
      <c r="A12" s="102">
        <f t="shared" si="2"/>
        <v>0.84325265289569373</v>
      </c>
      <c r="B12" s="258">
        <f>'2-تحديد الحمولات'!A13</f>
        <v>4</v>
      </c>
      <c r="C12" s="82">
        <f>'2-تحديد الحمولات'!G13*10^6-0.9*0.85*'0- المعطيات'!$I$23*('1- تحديد الأبعاد الأولية'!D23*1000-'3- مسار الكابل'!C14*1000-E12/2)*E12*'1- تحديد الأبعاد الأولية'!$K$1*1000</f>
        <v>0</v>
      </c>
      <c r="D12" s="255">
        <f>'2-تحديد الحمولات'!G13</f>
        <v>6801.48046875</v>
      </c>
      <c r="E12" s="82">
        <v>287.52770683915401</v>
      </c>
      <c r="F12" s="82" t="str">
        <f>IF(E12&gt;'[1]1- تحديد الأبعاد الأولية'!$I$3*1000," المحور المحايد في الجسد","المحور المحايد في الجناح")</f>
        <v xml:space="preserve"> المحور المحايد في الجسد</v>
      </c>
      <c r="G12" s="82">
        <f>'2-تحديد الحمولات'!G13*10^6-0.9*0.85*'0- المعطيات'!$I$23*(('1- تحديد الأبعاد الأولية'!$K$1-'1- تحديد الأبعاد الأولية'!$I$12)*1000*'1- تحديد الأبعاد الأولية'!$I$3*1000*('1- تحديد الأبعاد الأولية'!$D23*1000-'3- مسار الكابل'!$C14*1000-'1- تحديد الأبعاد الأولية'!$I$3*1000/2)+'1- تحديد الأبعاد الأولية'!$I$12*1000*('1- تحديد الأبعاد الأولية'!$D23*1000-'3- مسار الكابل'!$C14*1000-H12/2)*H12)</f>
        <v>0</v>
      </c>
      <c r="H12" s="82">
        <v>306.69479121260218</v>
      </c>
      <c r="I12" s="82">
        <f>IF(E12/1000&gt;'1- تحديد الأبعاد الأولية'!I7,H12,E12)</f>
        <v>287.52770683915401</v>
      </c>
      <c r="J12" s="256">
        <f t="shared" si="6"/>
        <v>5.2079999999999991E-3</v>
      </c>
      <c r="K12" s="256">
        <f>0.003*('1- تحديد الأبعاد الأولية'!D23*1000-'3- مسار الكابل'!C14*1000-'5-تحقيق العزم في مرحلة الانكسار'!$E$2/0.85)/'5-تحقيق العزم في مرحلة الانكسار'!$E$2*0.85</f>
        <v>7.298873046205104E-3</v>
      </c>
      <c r="L12" s="256">
        <f t="shared" si="3"/>
        <v>1.2506873046205104E-2</v>
      </c>
      <c r="M12" s="82" t="str">
        <f t="shared" si="0"/>
        <v>وصل لسيلان</v>
      </c>
      <c r="N12" s="255">
        <f>'4 - حساب قوة سبق الاجهاد'!$C$34*'0- المعطيات'!$I$32*1000*('0- المعطيات'!$I$24/'0- المعطيات'!$I$32/1000+0.003*('1- تحديد الأبعاد الأولية'!D23*1000-'3- مسار الكابل'!C14*1000-'5-تحقيق العزم في مرحلة الانكسار'!O12/0.85)/'5-تحقيق العزم في مرحلة الانكسار'!O12*0.85)-0.85 *'0- المعطيات'!$I$23*(('1- تحديد الأبعاد الأولية'!$K$1-'1- تحديد الأبعاد الأولية'!$I$12)*'1- تحديد الأبعاد الأولية'!$I$3*1000000+'1- تحديد الأبعاد الأولية'!$I$12*1000*'5-تحقيق العزم في مرحلة الانكسار'!O12)</f>
        <v>-2.989545464515686E-7</v>
      </c>
      <c r="O12" s="82">
        <v>549.37058585266584</v>
      </c>
      <c r="P12" s="82">
        <f t="shared" si="1"/>
        <v>400.1764705882353</v>
      </c>
      <c r="Q12" s="257">
        <f>(0.9*0.85*'0- المعطيات'!$I$23*(('1- تحديد الأبعاد الأولية'!$K$1-'1- تحديد الأبعاد الأولية'!$I$12)*1000*'1- تحديد الأبعاد الأولية'!$I$3*1000*('1- تحديد الأبعاد الأولية'!$D23*1000-'3- مسار الكابل'!$C14*1000-'1- تحديد الأبعاد الأولية'!$I$3*1000/2)+'1- تحديد الأبعاد الأولية'!$I$12*1000*('1- تحديد الأبعاد الأولية'!$D23*1000-'3- مسار الكابل'!$C14*1000-P12/2)*P12))/10^6</f>
        <v>8065.7682432352931</v>
      </c>
      <c r="R12" s="82" t="str">
        <f t="shared" si="4"/>
        <v xml:space="preserve"> المقطع محقق</v>
      </c>
      <c r="S12" s="257">
        <f t="shared" si="5"/>
        <v>0.84325265289569373</v>
      </c>
    </row>
    <row r="13" spans="1:19" x14ac:dyDescent="0.25">
      <c r="A13" s="102">
        <f t="shared" si="2"/>
        <v>0.84773054519144353</v>
      </c>
      <c r="B13" s="258">
        <f>'2-تحديد الحمولات'!A14</f>
        <v>5</v>
      </c>
      <c r="C13" s="82">
        <f>'2-تحديد الحمولات'!G14*10^6-0.9*0.85*'0- المعطيات'!$I$23*('1- تحديد الأبعاد الأولية'!D24*1000-'3- مسار الكابل'!C15*1000-E13/2)*E13*'1- تحديد الأبعاد الأولية'!$K$1*1000</f>
        <v>0</v>
      </c>
      <c r="D13" s="255">
        <f>'2-تحديد الحمولات'!G14</f>
        <v>6508.5937500000009</v>
      </c>
      <c r="E13" s="82">
        <v>288.80489930171626</v>
      </c>
      <c r="F13" s="82" t="str">
        <f>IF(E13&gt;'[1]1- تحديد الأبعاد الأولية'!$I$3*1000," المحور المحايد في الجسد","المحور المحايد في الجناح")</f>
        <v xml:space="preserve"> المحور المحايد في الجسد</v>
      </c>
      <c r="G13" s="82">
        <f>'2-تحديد الحمولات'!G14*10^6-0.9*0.85*'0- المعطيات'!$I$23*(('1- تحديد الأبعاد الأولية'!$K$1-'1- تحديد الأبعاد الأولية'!$I$12)*1000*'1- تحديد الأبعاد الأولية'!$I$3*1000*('1- تحديد الأبعاد الأولية'!$D24*1000-'3- مسار الكابل'!$C15*1000-'1- تحديد الأبعاد الأولية'!$I$3*1000/2)+'1- تحديد الأبعاد الأولية'!$I$12*1000*('1- تحديد الأبعاد الأولية'!$D24*1000-'3- مسار الكابل'!$C15*1000-H13/2)*H13)</f>
        <v>0</v>
      </c>
      <c r="H13" s="82">
        <v>308.66318405486874</v>
      </c>
      <c r="I13" s="82">
        <f>IF(E13/1000&gt;'1- تحديد الأبعاد الأولية'!I8,H13,E13)</f>
        <v>308.66318405486874</v>
      </c>
      <c r="J13" s="256">
        <f t="shared" si="6"/>
        <v>5.2079999999999991E-3</v>
      </c>
      <c r="K13" s="256">
        <f>0.003*('1- تحديد الأبعاد الأولية'!D24*1000-'3- مسار الكابل'!C15*1000-'5-تحقيق العزم في مرحلة الانكسار'!$E$2/0.85)/'5-تحقيق العزم في مرحلة الانكسار'!$E$2*0.85</f>
        <v>6.8591920231270507E-3</v>
      </c>
      <c r="L13" s="256">
        <f t="shared" si="3"/>
        <v>1.206719202312705E-2</v>
      </c>
      <c r="M13" s="82" t="str">
        <f t="shared" si="0"/>
        <v>وصل لسيلان</v>
      </c>
      <c r="N13" s="255">
        <f>'4 - حساب قوة سبق الاجهاد'!$C$34*'0- المعطيات'!$I$32*1000*('0- المعطيات'!$I$24/'0- المعطيات'!$I$32/1000+0.003*('1- تحديد الأبعاد الأولية'!D24*1000-'3- مسار الكابل'!C15*1000-'5-تحقيق العزم في مرحلة الانكسار'!O13/0.85)/'5-تحقيق العزم في مرحلة الانكسار'!O13*0.85)-0.85 *'0- المعطيات'!$I$23*(('1- تحديد الأبعاد الأولية'!$K$1-'1- تحديد الأبعاد الأولية'!$I$12)*'1- تحديد الأبعاد الأولية'!$I$3*1000000+'1- تحديد الأبعاد الأولية'!$I$12*1000*'5-تحقيق العزم في مرحلة الانكسار'!O13)</f>
        <v>-6.4726918935775757E-7</v>
      </c>
      <c r="O13" s="82">
        <v>539.04951375184396</v>
      </c>
      <c r="P13" s="82">
        <f t="shared" si="1"/>
        <v>400.1764705882353</v>
      </c>
      <c r="Q13" s="257">
        <f>(0.9*0.85*'0- المعطيات'!$I$23*(('1- تحديد الأبعاد الأولية'!$K$1-'1- تحديد الأبعاد الأولية'!$I$12)*1000*'1- تحديد الأبعاد الأولية'!$I$3*1000*('1- تحديد الأبعاد الأولية'!$D24*1000-'3- مسار الكابل'!$C15*1000-'1- تحديد الأبعاد الأولية'!$I$3*1000/2)+'1- تحديد الأبعاد الأولية'!$I$12*1000*('1- تحديد الأبعاد الأولية'!$D24*1000-'3- مسار الكابل'!$C15*1000-P13/2)*P13))/10^6</f>
        <v>7677.668083235294</v>
      </c>
      <c r="R13" s="82" t="str">
        <f t="shared" si="4"/>
        <v xml:space="preserve"> المقطع محقق</v>
      </c>
      <c r="S13" s="257">
        <f t="shared" si="5"/>
        <v>0.84773054519144353</v>
      </c>
    </row>
    <row r="14" spans="1:19" x14ac:dyDescent="0.25">
      <c r="A14" s="102">
        <f t="shared" si="2"/>
        <v>0.84651444228722517</v>
      </c>
      <c r="B14" s="258">
        <f>'2-تحديد الحمولات'!A15</f>
        <v>6</v>
      </c>
      <c r="C14" s="82">
        <f>'2-تحديد الحمولات'!G15*10^6-0.9*0.85*'0- المعطيات'!$I$23*('1- تحديد الأبعاد الأولية'!D25*1000-'3- مسار الكابل'!C16*1000-E14/2)*E14*'1- تحديد الأبعاد الأولية'!$K$1*1000</f>
        <v>0</v>
      </c>
      <c r="D14" s="255">
        <f>'2-تحديد الحمولات'!G15</f>
        <v>6150.6210937500009</v>
      </c>
      <c r="E14" s="82">
        <v>287.84693726513774</v>
      </c>
      <c r="F14" s="82" t="str">
        <f>IF(E14&gt;'[1]1- تحديد الأبعاد الأولية'!$I$3*1000," المحور المحايد في الجسد","المحور المحايد في الجناح")</f>
        <v xml:space="preserve"> المحور المحايد في الجسد</v>
      </c>
      <c r="G14" s="82">
        <f>'2-تحديد الحمولات'!G15*10^6-0.9*0.85*'0- المعطيات'!$I$23*(('1- تحديد الأبعاد الأولية'!$K$1-'1- تحديد الأبعاد الأولية'!$I$12)*1000*'1- تحديد الأبعاد الأولية'!$I$3*1000*('1- تحديد الأبعاد الأولية'!$D25*1000-'3- مسار الكابل'!$C16*1000-'1- تحديد الأبعاد الأولية'!$I$3*1000/2)+'1- تحديد الأبعاد الأولية'!$I$12*1000*('1- تحديد الأبعاد الأولية'!$D25*1000-'3- مسار الكابل'!$C16*1000-H14/2)*H14)</f>
        <v>0</v>
      </c>
      <c r="H14" s="82">
        <v>307.2306858881912</v>
      </c>
      <c r="I14" s="82">
        <f>IF(E14/1000&gt;'1- تحديد الأبعاد الأولية'!I9,H14,E14)</f>
        <v>307.2306858881912</v>
      </c>
      <c r="J14" s="256">
        <f t="shared" si="6"/>
        <v>5.2079999999999991E-3</v>
      </c>
      <c r="K14" s="256">
        <f>0.003*('1- تحديد الأبعاد الأولية'!D25*1000-'3- مسار الكابل'!C16*1000-'5-تحقيق العزم في مرحلة الانكسار'!$E$2/0.85)/'5-تحقيق العزم في مرحلة الانكسار'!$E$2*0.85</f>
        <v>6.392606203145669E-3</v>
      </c>
      <c r="L14" s="256">
        <f t="shared" si="3"/>
        <v>1.1600606203145668E-2</v>
      </c>
      <c r="M14" s="82" t="str">
        <f t="shared" si="0"/>
        <v>وصل لسيلان</v>
      </c>
      <c r="N14" s="255">
        <f>'4 - حساب قوة سبق الاجهاد'!$C$34*'0- المعطيات'!$I$32*1000*('0- المعطيات'!$I$24/'0- المعطيات'!$I$32/1000+0.003*('1- تحديد الأبعاد الأولية'!D25*1000-'3- مسار الكابل'!C16*1000-'5-تحقيق العزم في مرحلة الانكسار'!O14/0.85)/'5-تحقيق العزم في مرحلة الانكسار'!O14*0.85)-0.85 *'0- المعطيات'!$I$23*(('1- تحديد الأبعاد الأولية'!$K$1-'1- تحديد الأبعاد الأولية'!$I$12)*'1- تحديد الأبعاد الأولية'!$I$3*1000000+'1- تحديد الأبعاد الأولية'!$I$12*1000*'5-تحقيق العزم في مرحلة الانكسار'!O14)</f>
        <v>-6.2119215726852417E-7</v>
      </c>
      <c r="O14" s="82">
        <v>527.84639503333699</v>
      </c>
      <c r="P14" s="82">
        <f t="shared" si="1"/>
        <v>400.1764705882353</v>
      </c>
      <c r="Q14" s="257">
        <f>(0.9*0.85*'0- المعطيات'!$I$23*(('1- تحديد الأبعاد الأولية'!$K$1-'1- تحديد الأبعاد الأولية'!$I$12)*1000*'1- تحديد الأبعاد الأولية'!$I$3*1000*('1- تحديد الأبعاد الأولية'!$D25*1000-'3- مسار الكابل'!$C16*1000-'1- تحديد الأبعاد الأولية'!$I$3*1000/2)+'1- تحديد الأبعاد الأولية'!$I$12*1000*('1- تحديد الأبعاد الأولية'!$D25*1000-'3- مسار الكابل'!$C16*1000-P14/2)*P14))/10^6</f>
        <v>7265.819443235293</v>
      </c>
      <c r="R14" s="82" t="str">
        <f t="shared" si="4"/>
        <v xml:space="preserve"> المقطع محقق</v>
      </c>
      <c r="S14" s="257">
        <f t="shared" si="5"/>
        <v>0.84651444228722517</v>
      </c>
    </row>
    <row r="15" spans="1:19" x14ac:dyDescent="0.25">
      <c r="A15" s="102">
        <f t="shared" si="2"/>
        <v>0.83856164981859727</v>
      </c>
      <c r="B15" s="258">
        <f>'2-تحديد الحمولات'!A16</f>
        <v>7</v>
      </c>
      <c r="C15" s="82">
        <f>'2-تحديد الحمولات'!G16*10^6-0.9*0.85*'0- المعطيات'!$I$23*('1- تحديد الأبعاد الأولية'!D26*1000-'3- مسار الكابل'!C17*1000-E15/2)*E15*'1- تحديد الأبعاد الأولية'!$K$1*1000</f>
        <v>0</v>
      </c>
      <c r="D15" s="255">
        <f>'2-تحديد الحمولات'!G16</f>
        <v>5727.5625000000009</v>
      </c>
      <c r="E15" s="82">
        <v>284.20719870027142</v>
      </c>
      <c r="F15" s="82" t="str">
        <f>IF(E15&gt;'[1]1- تحديد الأبعاد الأولية'!$I$3*1000," المحور المحايد في الجسد","المحور المحايد في الجناح")</f>
        <v xml:space="preserve"> المحور المحايد في الجسد</v>
      </c>
      <c r="G15" s="82">
        <f>'2-تحديد الحمولات'!G16*10^6-0.9*0.85*'0- المعطيات'!$I$23*(('1- تحديد الأبعاد الأولية'!$K$1-'1- تحديد الأبعاد الأولية'!$I$12)*1000*'1- تحديد الأبعاد الأولية'!$I$3*1000*('1- تحديد الأبعاد الأولية'!$D26*1000-'3- مسار الكابل'!$C17*1000-'1- تحديد الأبعاد الأولية'!$I$3*1000/2)+'1- تحديد الأبعاد الأولية'!$I$12*1000*('1- تحديد الأبعاد الأولية'!$D26*1000-'3- مسار الكابل'!$C17*1000-H15/2)*H15)</f>
        <v>0</v>
      </c>
      <c r="H15" s="82">
        <v>301.71151209076987</v>
      </c>
      <c r="I15" s="82">
        <f>IF(E15/1000&gt;'1- تحديد الأبعاد الأولية'!I10,H15,E15)</f>
        <v>301.71151209076987</v>
      </c>
      <c r="J15" s="256">
        <f t="shared" si="6"/>
        <v>5.2079999999999991E-3</v>
      </c>
      <c r="K15" s="256">
        <f>0.003*('1- تحديد الأبعاد الأولية'!D26*1000-'3- مسار الكابل'!C17*1000-'5-تحقيق العزم في مرحلة الانكسار'!$E$2/0.85)/'5-تحقيق العزم في مرحلة الانكسار'!$E$2*0.85</f>
        <v>5.8991155862609616E-3</v>
      </c>
      <c r="L15" s="256">
        <f t="shared" si="3"/>
        <v>1.1107115586260961E-2</v>
      </c>
      <c r="M15" s="82" t="str">
        <f t="shared" si="0"/>
        <v>وصل لسيلان</v>
      </c>
      <c r="N15" s="255">
        <f>'4 - حساب قوة سبق الاجهاد'!$C$34*'0- المعطيات'!$I$32*1000*('0- المعطيات'!$I$24/'0- المعطيات'!$I$32/1000+0.003*('1- تحديد الأبعاد الأولية'!D26*1000-'3- مسار الكابل'!C17*1000-'5-تحقيق العزم في مرحلة الانكسار'!O15/0.85)/'5-تحقيق العزم في مرحلة الانكسار'!O15*0.85)-0.85 *'0- المعطيات'!$I$23*(('1- تحديد الأبعاد الأولية'!$K$1-'1- تحديد الأبعاد الأولية'!$I$12)*'1- تحديد الأبعاد الأولية'!$I$3*1000000+'1- تحديد الأبعاد الأولية'!$I$12*1000*'5-تحقيق العزم في مرحلة الانكسار'!O15)</f>
        <v>-9.1269612312316895E-8</v>
      </c>
      <c r="O15" s="82">
        <v>515.69576847156918</v>
      </c>
      <c r="P15" s="82">
        <f t="shared" si="1"/>
        <v>400.1764705882353</v>
      </c>
      <c r="Q15" s="257">
        <f>(0.9*0.85*'0- المعطيات'!$I$23*(('1- تحديد الأبعاد الأولية'!$K$1-'1- تحديد الأبعاد الأولية'!$I$12)*1000*'1- تحديد الأبعاد الأولية'!$I$3*1000*('1- تحديد الأبعاد الأولية'!$D26*1000-'3- مسار الكابل'!$C17*1000-'1- تحديد الأبعاد الأولية'!$I$3*1000/2)+'1- تحديد الأبعاد الأولية'!$I$12*1000*('1- تحديد الأبعاد الأولية'!$D26*1000-'3- مسار الكابل'!$C17*1000-P15/2)*P15))/10^6</f>
        <v>6830.2223232352944</v>
      </c>
      <c r="R15" s="82" t="str">
        <f t="shared" si="4"/>
        <v xml:space="preserve"> المقطع محقق</v>
      </c>
      <c r="S15" s="257">
        <f t="shared" si="5"/>
        <v>0.83856164981859727</v>
      </c>
    </row>
    <row r="16" spans="1:19" x14ac:dyDescent="0.25">
      <c r="A16" s="102">
        <f t="shared" si="2"/>
        <v>0.82240140507526438</v>
      </c>
      <c r="B16" s="258">
        <f>'2-تحديد الحمولات'!A17</f>
        <v>8</v>
      </c>
      <c r="C16" s="82">
        <f>'2-تحديد الحمولات'!G17*10^6-0.9*0.85*'0- المعطيات'!$I$23*('1- تحديد الأبعاد الأولية'!D27*1000-'3- مسار الكابل'!C18*1000-E16/2)*E16*'1- تحديد الأبعاد الأولية'!$K$1*1000</f>
        <v>0</v>
      </c>
      <c r="D16" s="255">
        <f>'2-تحديد الحمولات'!G17</f>
        <v>5239.4179687500009</v>
      </c>
      <c r="E16" s="82">
        <v>277.26881350367836</v>
      </c>
      <c r="F16" s="82" t="str">
        <f>IF(E16&gt;'[1]1- تحديد الأبعاد الأولية'!$I$3*1000," المحور المحايد في الجسد","المحور المحايد في الجناح")</f>
        <v xml:space="preserve"> المحور المحايد في الجسد</v>
      </c>
      <c r="G16" s="82">
        <f>'2-تحديد الحمولات'!G17*10^6-0.9*0.85*'0- المعطيات'!$I$23*(('1- تحديد الأبعاد الأولية'!$K$1-'1- تحديد الأبعاد الأولية'!$I$12)*1000*'1- تحديد الأبعاد الأولية'!$I$3*1000*('1- تحديد الأبعاد الأولية'!$D27*1000-'3- مسار الكابل'!$C18*1000-'1- تحديد الأبعاد الأولية'!$I$3*1000/2)+'1- تحديد الأبعاد الأولية'!$I$12*1000*('1- تحديد الأبعاد الأولية'!$D27*1000-'3- مسار الكابل'!$C18*1000-H16/2)*H16)</f>
        <v>0</v>
      </c>
      <c r="H16" s="82">
        <v>291.17557041339404</v>
      </c>
      <c r="I16" s="82">
        <f>IF(E16/1000&gt;'1- تحديد الأبعاد الأولية'!I11,H16,E16)</f>
        <v>291.17557041339404</v>
      </c>
      <c r="J16" s="256">
        <f t="shared" si="6"/>
        <v>5.2079999999999991E-3</v>
      </c>
      <c r="K16" s="256">
        <f>0.003*('1- تحديد الأبعاد الأولية'!D27*1000-'3- مسار الكابل'!C18*1000-'5-تحقيق العزم في مرحلة الانكسار'!$E$2/0.85)/'5-تحقيق العزم في مرحلة الانكسار'!$E$2*0.85</f>
        <v>5.3787201724729266E-3</v>
      </c>
      <c r="L16" s="256">
        <f t="shared" si="3"/>
        <v>1.0586720172472926E-2</v>
      </c>
      <c r="M16" s="82" t="str">
        <f t="shared" si="0"/>
        <v>وصل لسيلان</v>
      </c>
      <c r="N16" s="255">
        <f>'4 - حساب قوة سبق الاجهاد'!$C$34*'0- المعطيات'!$I$32*1000*('0- المعطيات'!$I$24/'0- المعطيات'!$I$32/1000+0.003*('1- تحديد الأبعاد الأولية'!D27*1000-'3- مسار الكابل'!C18*1000-'5-تحقيق العزم في مرحلة الانكسار'!O16/0.85)/'5-تحقيق العزم في مرحلة الانكسار'!O16*0.85)-0.85 *'0- المعطيات'!$I$23*(('1- تحديد الأبعاد الأولية'!$K$1-'1- تحديد الأبعاد الأولية'!$I$12)*'1- تحديد الأبعاد الأولية'!$I$3*1000000+'1- تحديد الأبعاد الأولية'!$I$12*1000*'5-تحقيق العزم في مرحلة الانكسار'!O16)</f>
        <v>-2.2258609533309937E-7</v>
      </c>
      <c r="O16" s="82">
        <v>502.51908291695514</v>
      </c>
      <c r="P16" s="82">
        <f t="shared" si="1"/>
        <v>400.1764705882353</v>
      </c>
      <c r="Q16" s="257">
        <f>(0.9*0.85*'0- المعطيات'!$I$23*(('1- تحديد الأبعاد الأولية'!$K$1-'1- تحديد الأبعاد الأولية'!$I$12)*1000*'1- تحديد الأبعاد الأولية'!$I$3*1000*('1- تحديد الأبعاد الأولية'!$D27*1000-'3- مسار الكابل'!$C18*1000-'1- تحديد الأبعاد الأولية'!$I$3*1000/2)+'1- تحديد الأبعاد الأولية'!$I$12*1000*('1- تحديد الأبعاد الأولية'!$D27*1000-'3- مسار الكابل'!$C18*1000-P16/2)*P16))/10^6</f>
        <v>6370.876723235293</v>
      </c>
      <c r="R16" s="82" t="str">
        <f t="shared" si="4"/>
        <v xml:space="preserve"> المقطع محقق</v>
      </c>
      <c r="S16" s="257">
        <f t="shared" si="5"/>
        <v>0.82240140507526438</v>
      </c>
    </row>
    <row r="17" spans="1:19" x14ac:dyDescent="0.25">
      <c r="A17" s="102">
        <f t="shared" si="2"/>
        <v>0.79591720414206313</v>
      </c>
      <c r="B17" s="258">
        <f>'2-تحديد الحمولات'!A18</f>
        <v>9</v>
      </c>
      <c r="C17" s="82">
        <f>'2-تحديد الحمولات'!G18*10^6-0.9*0.85*'0- المعطيات'!$I$23*('1- تحديد الأبعاد الأولية'!D28*1000-'3- مسار الكابل'!C19*1000-E17/2)*E17*'1- تحديد الأبعاد الأولية'!$K$1*1000</f>
        <v>0</v>
      </c>
      <c r="D17" s="255">
        <f>'2-تحديد الحمولات'!G18</f>
        <v>4686.1875000000009</v>
      </c>
      <c r="E17" s="82">
        <v>266.17206176001423</v>
      </c>
      <c r="F17" s="82" t="str">
        <f>IF(E17&gt;'[1]1- تحديد الأبعاد الأولية'!$I$3*1000," المحور المحايد في الجسد","المحور المحايد في الجناح")</f>
        <v xml:space="preserve"> المحور المحايد في الجسد</v>
      </c>
      <c r="G17" s="82">
        <f>'2-تحديد الحمولات'!G18*10^6-0.9*0.85*'0- المعطيات'!$I$23*(('1- تحديد الأبعاد الأولية'!$K$1-'1- تحديد الأبعاد الأولية'!$I$12)*1000*'1- تحديد الأبعاد الأولية'!$I$3*1000*('1- تحديد الأبعاد الأولية'!$D28*1000-'3- مسار الكابل'!$C19*1000-'1- تحديد الأبعاد الأولية'!$I$3*1000/2)+'1- تحديد الأبعاد الأولية'!$I$12*1000*('1- تحديد الأبعاد الأولية'!$D28*1000-'3- مسار الكابل'!$C19*1000-H17/2)*H17)</f>
        <v>0</v>
      </c>
      <c r="H17" s="82">
        <v>274.36082314667556</v>
      </c>
      <c r="I17" s="82">
        <f>IF(E17/1000&gt;'1- تحديد الأبعاد الأولية'!I12,H17,E17)</f>
        <v>266.17206176001423</v>
      </c>
      <c r="J17" s="256">
        <f t="shared" si="6"/>
        <v>5.2079999999999991E-3</v>
      </c>
      <c r="K17" s="256">
        <f>0.003*('1- تحديد الأبعاد الأولية'!D28*1000-'3- مسار الكابل'!C19*1000-'5-تحقيق العزم في مرحلة الانكسار'!$E$2/0.85)/'5-تحقيق العزم في مرحلة الانكسار'!$E$2*0.85</f>
        <v>4.831419961781565E-3</v>
      </c>
      <c r="L17" s="256">
        <f t="shared" si="3"/>
        <v>1.0039419961781565E-2</v>
      </c>
      <c r="M17" s="82" t="str">
        <f t="shared" si="0"/>
        <v>وصل لسيلان</v>
      </c>
      <c r="N17" s="255">
        <f>'4 - حساب قوة سبق الاجهاد'!$C$34*'0- المعطيات'!$I$32*1000*('0- المعطيات'!$I$24/'0- المعطيات'!$I$32/1000+0.003*('1- تحديد الأبعاد الأولية'!D28*1000-'3- مسار الكابل'!C19*1000-'5-تحقيق العزم في مرحلة الانكسار'!O17/0.85)/'5-تحقيق العزم في مرحلة الانكسار'!O17*0.85)-0.85 *'0- المعطيات'!$I$23*(('1- تحديد الأبعاد الأولية'!$K$1-'1- تحديد الأبعاد الأولية'!$I$12)*'1- تحديد الأبعاد الأولية'!$I$3*1000000+'1- تحديد الأبعاد الأولية'!$I$12*1000*'5-تحقيق العزم في مرحلة الانكسار'!O17)</f>
        <v>-2.7008354663848877E-8</v>
      </c>
      <c r="O17" s="82">
        <v>488.22099329994347</v>
      </c>
      <c r="P17" s="82">
        <f t="shared" si="1"/>
        <v>400.1764705882353</v>
      </c>
      <c r="Q17" s="257">
        <f>(0.9*0.85*'0- المعطيات'!$I$23*(('1- تحديد الأبعاد الأولية'!$K$1-'1- تحديد الأبعاد الأولية'!$I$12)*1000*'1- تحديد الأبعاد الأولية'!$I$3*1000*('1- تحديد الأبعاد الأولية'!$D28*1000-'3- مسار الكابل'!$C19*1000-'1- تحديد الأبعاد الأولية'!$I$3*1000/2)+'1- تحديد الأبعاد الأولية'!$I$12*1000*('1- تحديد الأبعاد الأولية'!$D28*1000-'3- مسار الكابل'!$C19*1000-P17/2)*P17))/10^6</f>
        <v>5887.7826432352931</v>
      </c>
      <c r="R17" s="82" t="str">
        <f t="shared" si="4"/>
        <v xml:space="preserve"> المقطع محقق</v>
      </c>
      <c r="S17" s="257">
        <f t="shared" si="5"/>
        <v>0.79591720414206313</v>
      </c>
    </row>
    <row r="18" spans="1:19" x14ac:dyDescent="0.25">
      <c r="A18" s="102">
        <f t="shared" si="2"/>
        <v>0.75597777169527436</v>
      </c>
      <c r="B18" s="258">
        <f>'2-تحديد الحمولات'!A19</f>
        <v>10</v>
      </c>
      <c r="C18" s="82">
        <f>'2-تحديد الحمولات'!G19*10^6-0.9*0.85*'0- المعطيات'!$I$23*('1- تحديد الأبعاد الأولية'!D29*1000-'3- مسار الكابل'!C20*1000-E18/2)*E18*'1- تحديد الأبعاد الأولية'!$K$1*1000</f>
        <v>0</v>
      </c>
      <c r="D18" s="255">
        <f>'2-تحديد الحمولات'!G19</f>
        <v>4067.8710937500005</v>
      </c>
      <c r="E18" s="82">
        <v>249.70872025620039</v>
      </c>
      <c r="F18" s="82" t="str">
        <f>IF(E18&gt;'[1]1- تحديد الأبعاد الأولية'!$I$3*1000," المحور المحايد في الجسد","المحور المحايد في الجناح")</f>
        <v>المحور المحايد في الجناح</v>
      </c>
      <c r="G18" s="82">
        <f>'2-تحديد الحمولات'!G19*10^6-0.9*0.85*'0- المعطيات'!$I$23*(('1- تحديد الأبعاد الأولية'!$K$1-'1- تحديد الأبعاد الأولية'!$I$12)*1000*'1- تحديد الأبعاد الأولية'!$I$3*1000*('1- تحديد الأبعاد الأولية'!$D29*1000-'3- مسار الكابل'!$C20*1000-'1- تحديد الأبعاد الأولية'!$I$3*1000/2)+'1- تحديد الأبعاد الأولية'!$I$12*1000*('1- تحديد الأبعاد الأولية'!$D29*1000-'3- مسار الكابل'!$C20*1000-H18/2)*H18)</f>
        <v>0</v>
      </c>
      <c r="H18" s="82">
        <v>249.56311616023203</v>
      </c>
      <c r="I18" s="82">
        <f>IF(E18/1000&gt;'1- تحديد الأبعاد الأولية'!I13,H18,E18)</f>
        <v>249.56311616023203</v>
      </c>
      <c r="J18" s="256">
        <f t="shared" si="6"/>
        <v>5.2079999999999991E-3</v>
      </c>
      <c r="K18" s="256">
        <f>0.003*('1- تحديد الأبعاد الأولية'!D29*1000-'3- مسار الكابل'!C20*1000-'5-تحقيق العزم في مرحلة الانكسار'!$E$2/0.85)/'5-تحقيق العزم في مرحلة الانكسار'!$E$2*0.85</f>
        <v>4.2572149541868767E-3</v>
      </c>
      <c r="L18" s="256">
        <f t="shared" si="3"/>
        <v>9.4652149541868749E-3</v>
      </c>
      <c r="M18" s="82" t="str">
        <f t="shared" si="0"/>
        <v>وصل لسيلان</v>
      </c>
      <c r="N18" s="255">
        <f>'4 - حساب قوة سبق الاجهاد'!$C$34*'0- المعطيات'!$I$32*1000*('0- المعطيات'!$I$24/'0- المعطيات'!$I$32/1000+0.003*('1- تحديد الأبعاد الأولية'!D29*1000-'3- مسار الكابل'!C20*1000-'5-تحقيق العزم في مرحلة الانكسار'!O18/0.85)/'5-تحقيق العزم في مرحلة الانكسار'!O18*0.85)-0.85 *'0- المعطيات'!$I$23*(('1- تحديد الأبعاد الأولية'!$K$1-'1- تحديد الأبعاد الأولية'!$I$12)*'1- تحديد الأبعاد الأولية'!$I$3*1000000+'1- تحديد الأبعاد الأولية'!$I$12*1000*'5-تحقيق العزم في مرحلة الانكسار'!O18)</f>
        <v>-8.1025063991546631E-8</v>
      </c>
      <c r="O18" s="82">
        <v>472.68414325163872</v>
      </c>
      <c r="P18" s="82">
        <f t="shared" si="1"/>
        <v>400.1764705882353</v>
      </c>
      <c r="Q18" s="257">
        <f>(0.9*0.85*'0- المعطيات'!$I$23*(('1- تحديد الأبعاد الأولية'!$K$1-'1- تحديد الأبعاد الأولية'!$I$12)*1000*'1- تحديد الأبعاد الأولية'!$I$3*1000*('1- تحديد الأبعاد الأولية'!$D29*1000-'3- مسار الكابل'!$C20*1000-'1- تحديد الأبعاد الأولية'!$I$3*1000/2)+'1- تحديد الأبعاد الأولية'!$I$12*1000*('1- تحديد الأبعاد الأولية'!$D29*1000-'3- مسار الكابل'!$C20*1000-P18/2)*P18))/10^6</f>
        <v>5380.9400832352921</v>
      </c>
      <c r="R18" s="82" t="str">
        <f t="shared" si="4"/>
        <v xml:space="preserve"> المقطع محقق</v>
      </c>
      <c r="S18" s="257">
        <f t="shared" si="5"/>
        <v>0.75597777169527436</v>
      </c>
    </row>
    <row r="19" spans="1:19" x14ac:dyDescent="0.25">
      <c r="A19" s="102">
        <f t="shared" si="2"/>
        <v>0.64868710492861081</v>
      </c>
      <c r="B19" s="258">
        <f>'2-تحديد الحمولات'!A20</f>
        <v>11</v>
      </c>
      <c r="C19" s="82">
        <f>'2-تحديد الحمولات'!G20*10^6-0.9*0.85*'0- المعطيات'!$I$23*('1- تحديد الأبعاد الأولية'!D30*1000-'3- مسار الكابل'!C21*1000-E19/2)*E19*'1- تحديد الأبعاد الأولية'!$K$1*1000</f>
        <v>0</v>
      </c>
      <c r="D19" s="255">
        <f>'2-تحديد الحمولات'!G20</f>
        <v>3384.4687500000005</v>
      </c>
      <c r="E19" s="82">
        <v>226.17334866209629</v>
      </c>
      <c r="F19" s="82" t="str">
        <f>IF(E19&gt;'[1]1- تحديد الأبعاد الأولية'!$I$3*1000," المحور المحايد في الجسد","المحور المحايد في الجناح")</f>
        <v>المحور المحايد في الجناح</v>
      </c>
      <c r="G19" s="82">
        <f>'2-تحديد الحمولات'!G20*10^6-0.9*0.85*'0- المعطيات'!$I$23*(('1- تحديد الأبعاد الأولية'!$K$1-'1- تحديد الأبعاد الأولية'!$I$12)*1000*'1- تحديد الأبعاد الأولية'!$I$3*1000*('1- تحديد الأبعاد الأولية'!$D30*1000-'3- مسار الكابل'!$C21*1000-'1- تحديد الأبعاد الأولية'!$I$3*1000/2)+'1- تحديد الأبعاد الأولية'!$I$12*1000*('1- تحديد الأبعاد الأولية'!$D30*1000-'3- مسار الكابل'!$C21*1000-H19/2)*H19)</f>
        <v>0</v>
      </c>
      <c r="H19" s="82">
        <v>214.51646647142422</v>
      </c>
      <c r="I19" s="82">
        <f>IF(E19/1000&gt;'1- تحديد الأبعاد الأولية'!I14,H19,E19)</f>
        <v>214.51646647142422</v>
      </c>
      <c r="J19" s="256">
        <f t="shared" si="6"/>
        <v>5.2079999999999991E-3</v>
      </c>
      <c r="K19" s="256">
        <f>0.003*('1- تحديد الأبعاد الأولية'!D30*1000-'3- مسار الكابل'!C21*1000-'5-تحقيق العزم في مرحلة الانكسار'!$E$2/0.85)/'5-تحقيق العزم في مرحلة الانكسار'!$E$2*0.85</f>
        <v>3.6561051496888605E-3</v>
      </c>
      <c r="L19" s="256">
        <f t="shared" si="3"/>
        <v>8.8641051496888591E-3</v>
      </c>
      <c r="M19" s="82" t="str">
        <f t="shared" si="0"/>
        <v>لم يصل لسيلان</v>
      </c>
      <c r="N19" s="255">
        <f>'4 - حساب قوة سبق الاجهاد'!$C$34*'0- المعطيات'!$I$32*1000*('0- المعطيات'!$I$24/'0- المعطيات'!$I$32/1000+0.003*('1- تحديد الأبعاد الأولية'!D30*1000-'3- مسار الكابل'!C21*1000-'5-تحقيق العزم في مرحلة الانكسار'!O19/0.85)/'5-تحقيق العزم في مرحلة الانكسار'!O19*0.85)-0.85 *'0- المعطيات'!$I$23*(('1- تحديد الأبعاد الأولية'!$K$1-'1- تحديد الأبعاد الأولية'!$I$12)*'1- تحديد الأبعاد الأولية'!$I$3*1000000+'1- تحديد الأبعاد الأولية'!$I$12*1000*'5-تحقيق العزم في مرحلة الانكسار'!O19)</f>
        <v>-7.543712854385376E-7</v>
      </c>
      <c r="O19" s="82">
        <v>455.76160233955784</v>
      </c>
      <c r="P19" s="82">
        <f t="shared" si="1"/>
        <v>455.76160233955784</v>
      </c>
      <c r="Q19" s="257">
        <f>(0.9*0.85*'0- المعطيات'!$I$23*(('1- تحديد الأبعاد الأولية'!$K$1-'1- تحديد الأبعاد الأولية'!$I$12)*1000*'1- تحديد الأبعاد الأولية'!$I$3*1000*('1- تحديد الأبعاد الأولية'!$D30*1000-'3- مسار الكابل'!$C21*1000-'1- تحديد الأبعاد الأولية'!$I$3*1000/2)+'1- تحديد الأبعاد الأولية'!$I$12*1000*('1- تحديد الأبعاد الأولية'!$D30*1000-'3- مسار الكابل'!$C21*1000-P19/2)*P19))/10^6</f>
        <v>5217.4133326921419</v>
      </c>
      <c r="R19" s="82" t="str">
        <f t="shared" si="4"/>
        <v xml:space="preserve"> المقطع محقق</v>
      </c>
      <c r="S19" s="257">
        <f t="shared" si="5"/>
        <v>0.64868710492861081</v>
      </c>
    </row>
    <row r="20" spans="1:19" x14ac:dyDescent="0.25">
      <c r="A20" s="102">
        <f t="shared" si="2"/>
        <v>0.58506391587196016</v>
      </c>
      <c r="B20" s="258">
        <f>'2-تحديد الحمولات'!A21</f>
        <v>12</v>
      </c>
      <c r="C20" s="82">
        <f>'2-تحديد الحمولات'!G21*10^6-0.9*0.85*'0- المعطيات'!$I$23*('1- تحديد الأبعاد الأولية'!D31*1000-'3- مسار الكابل'!C22*1000-E20/2)*E20*'1- تحديد الأبعاد الأولية'!$K$1*1000</f>
        <v>0</v>
      </c>
      <c r="D20" s="255">
        <f>'2-تحديد الحمولات'!G21</f>
        <v>2635.9804687500005</v>
      </c>
      <c r="E20" s="82">
        <v>193.17092959709814</v>
      </c>
      <c r="F20" s="82" t="str">
        <f>IF(E20&gt;'[1]1- تحديد الأبعاد الأولية'!$I$3*1000," المحور المحايد في الجسد","المحور المحايد في الجناح")</f>
        <v>المحور المحايد في الجناح</v>
      </c>
      <c r="G20" s="82">
        <f>'2-تحديد الحمولات'!G21*10^6-0.9*0.85*'0- المعطيات'!$I$23*(('1- تحديد الأبعاد الأولية'!$K$1-'1- تحديد الأبعاد الأولية'!$I$12)*1000*'1- تحديد الأبعاد الأولية'!$I$3*1000*('1- تحديد الأبعاد الأولية'!$D31*1000-'3- مسار الكابل'!$C22*1000-'1- تحديد الأبعاد الأولية'!$I$3*1000/2)+'1- تحديد الأبعاد الأولية'!$I$12*1000*('1- تحديد الأبعاد الأولية'!$D31*1000-'3- مسار الكابل'!$C22*1000-H20/2)*H20)</f>
        <v>0</v>
      </c>
      <c r="H20" s="82">
        <v>166.30812889607094</v>
      </c>
      <c r="I20" s="82">
        <f>IF(E20/1000&gt;'1- تحديد الأبعاد الأولية'!I15,H20,E20)</f>
        <v>166.30812889607094</v>
      </c>
      <c r="J20" s="256">
        <f t="shared" si="6"/>
        <v>5.2079999999999991E-3</v>
      </c>
      <c r="K20" s="256">
        <f>0.003*('1- تحديد الأبعاد الأولية'!D31*1000-'3- مسار الكابل'!C22*1000-'5-تحقيق العزم في مرحلة الانكسار'!$E$2/0.85)/'5-تحقيق العزم في مرحلة الانكسار'!$E$2*0.85</f>
        <v>3.0280905482875189E-3</v>
      </c>
      <c r="L20" s="256">
        <f t="shared" si="3"/>
        <v>8.2360905482875175E-3</v>
      </c>
      <c r="M20" s="82" t="str">
        <f t="shared" si="0"/>
        <v>لم يصل لسيلان</v>
      </c>
      <c r="N20" s="255">
        <f>'4 - حساب قوة سبق الاجهاد'!$C$34*'0- المعطيات'!$I$32*1000*('0- المعطيات'!$I$24/'0- المعطيات'!$I$32/1000+0.003*('1- تحديد الأبعاد الأولية'!D31*1000-'3- مسار الكابل'!C22*1000-'5-تحقيق العزم في مرحلة الانكسار'!O20/0.85)/'5-تحقيق العزم في مرحلة الانكسار'!O20*0.85)-0.85 *'0- المعطيات'!$I$23*(('1- تحديد الأبعاد الأولية'!$K$1-'1- تحديد الأبعاد الأولية'!$I$12)*'1- تحديد الأبعاد الأولية'!$I$3*1000000+'1- تحديد الأبعاد الأولية'!$I$12*1000*'5-تحقيق العزم في مرحلة الانكسار'!O20)</f>
        <v>-1.7415732145309448E-7</v>
      </c>
      <c r="O20" s="82">
        <v>437.26552218178506</v>
      </c>
      <c r="P20" s="82">
        <f t="shared" si="1"/>
        <v>437.26552218178506</v>
      </c>
      <c r="Q20" s="257">
        <f>(0.9*0.85*'0- المعطيات'!$I$23*(('1- تحديد الأبعاد الأولية'!$K$1-'1- تحديد الأبعاد الأولية'!$I$12)*1000*'1- تحديد الأبعاد الأولية'!$I$3*1000*('1- تحديد الأبعاد الأولية'!$D31*1000-'3- مسار الكابل'!$C22*1000-'1- تحديد الأبعاد الأولية'!$I$3*1000/2)+'1- تحديد الأبعاد الأولية'!$I$12*1000*('1- تحديد الأبعاد الأولية'!$D31*1000-'3- مسار الكابل'!$C22*1000-P20/2)*P20))/10^6</f>
        <v>4505.4572624281936</v>
      </c>
      <c r="R20" s="82" t="str">
        <f t="shared" si="4"/>
        <v xml:space="preserve"> المقطع محقق</v>
      </c>
      <c r="S20" s="257">
        <f t="shared" si="5"/>
        <v>0.58506391587196016</v>
      </c>
    </row>
    <row r="21" spans="1:19" x14ac:dyDescent="0.25">
      <c r="A21" s="102">
        <f t="shared" si="2"/>
        <v>0.48008558092626785</v>
      </c>
      <c r="B21" s="258">
        <f>'2-تحديد الحمولات'!A22</f>
        <v>13</v>
      </c>
      <c r="C21" s="82">
        <f>'2-تحديد الحمولات'!G22*10^6-0.9*0.85*'0- المعطيات'!$I$23*('1- تحديد الأبعاد الأولية'!D32*1000-'3- مسار الكابل'!C23*1000-E21/2)*E21*'1- تحديد الأبعاد الأولية'!$K$1*1000</f>
        <v>0</v>
      </c>
      <c r="D21" s="255">
        <f>'2-تحديد الحمولات'!G22</f>
        <v>1822.4062500000002</v>
      </c>
      <c r="E21" s="82">
        <v>147.41719846767774</v>
      </c>
      <c r="F21" s="82" t="str">
        <f>IF(E21&gt;'[1]1- تحديد الأبعاد الأولية'!$I$3*1000," المحور المحايد في الجسد","المحور المحايد في الجناح")</f>
        <v>المحور المحايد في الجناح</v>
      </c>
      <c r="G21" s="82">
        <f>'2-تحديد الحمولات'!G22*10^6-0.9*0.85*'0- المعطيات'!$I$23*(('1- تحديد الأبعاد الأولية'!$K$1-'1- تحديد الأبعاد الأولية'!$I$12)*1000*'1- تحديد الأبعاد الأولية'!$I$3*1000*('1- تحديد الأبعاد الأولية'!$D32*1000-'3- مسار الكابل'!$C23*1000-'1- تحديد الأبعاد الأولية'!$I$3*1000/2)+'1- تحديد الأبعاد الأولية'!$I$12*1000*('1- تحديد الأبعاد الأولية'!$D32*1000-'3- مسار الكابل'!$C23*1000-H21/2)*H21)</f>
        <v>0</v>
      </c>
      <c r="H21" s="82">
        <v>101.42666807407451</v>
      </c>
      <c r="I21" s="82">
        <f>IF(E21/1000&gt;'1- تحديد الأبعاد الأولية'!I16,H21,E21)</f>
        <v>101.42666807407451</v>
      </c>
      <c r="J21" s="256">
        <f t="shared" si="6"/>
        <v>5.2079999999999991E-3</v>
      </c>
      <c r="K21" s="256">
        <f>0.003*('1- تحديد الأبعاد الأولية'!D32*1000-'3- مسار الكابل'!C23*1000-'5-تحقيق العزم في مرحلة الانكسار'!$E$2/0.85)/'5-تحقيق العزم في مرحلة الانكسار'!$E$2*0.85</f>
        <v>2.3731711499828476E-3</v>
      </c>
      <c r="L21" s="256">
        <f t="shared" si="3"/>
        <v>7.5811711499828467E-3</v>
      </c>
      <c r="M21" s="82" t="str">
        <f t="shared" si="0"/>
        <v>لم يصل لسيلان</v>
      </c>
      <c r="N21" s="255">
        <f>'4 - حساب قوة سبق الاجهاد'!$C$34*'0- المعطيات'!$I$32*1000*('0- المعطيات'!$I$24/'0- المعطيات'!$I$32/1000+0.003*('1- تحديد الأبعاد الأولية'!D32*1000-'3- مسار الكابل'!C23*1000-'5-تحقيق العزم في مرحلة الانكسار'!O21/0.85)/'5-تحقيق العزم في مرحلة الانكسار'!O21*0.85)-0.85 *'0- المعطيات'!$I$23*(('1- تحديد الأبعاد الأولية'!$K$1-'1- تحديد الأبعاد الأولية'!$I$12)*'1- تحديد الأبعاد الأولية'!$I$3*1000000+'1- تحديد الأبعاد الأولية'!$I$12*1000*'5-تحقيق العزم في مرحلة الانكسار'!O21)</f>
        <v>-5.3457915782928467E-7</v>
      </c>
      <c r="O21" s="82">
        <v>416.94940089993406</v>
      </c>
      <c r="P21" s="82">
        <f t="shared" si="1"/>
        <v>416.94940089993406</v>
      </c>
      <c r="Q21" s="257">
        <f>(0.9*0.85*'0- المعطيات'!$I$23*(('1- تحديد الأبعاد الأولية'!$K$1-'1- تحديد الأبعاد الأولية'!$I$12)*1000*'1- تحديد الأبعاد الأولية'!$I$3*1000*('1- تحديد الأبعاد الأولية'!$D32*1000-'3- مسار الكابل'!$C23*1000-'1- تحديد الأبعاد الأولية'!$I$3*1000/2)+'1- تحديد الأبعاد الأولية'!$I$12*1000*('1- تحديد الأبعاد الأولية'!$D32*1000-'3- مسار الكابل'!$C23*1000-P21/2)*P21))/10^6</f>
        <v>3796.002884493812</v>
      </c>
      <c r="R21" s="82" t="str">
        <f t="shared" si="4"/>
        <v xml:space="preserve"> المقطع محقق</v>
      </c>
      <c r="S21" s="257">
        <f t="shared" si="5"/>
        <v>0.48008558092626785</v>
      </c>
    </row>
    <row r="22" spans="1:19" x14ac:dyDescent="0.25">
      <c r="A22" s="102">
        <f t="shared" si="2"/>
        <v>0.30488610902849489</v>
      </c>
      <c r="B22" s="258">
        <f>'2-تحديد الحمولات'!A23</f>
        <v>14</v>
      </c>
      <c r="C22" s="82">
        <f>'2-تحديد الحمولات'!G23*10^6-0.9*0.85*'0- المعطيات'!$I$23*('1- تحديد الأبعاد الأولية'!D33*1000-'3- مسار الكابل'!C24*1000-E22/2)*E22*'1- تحديد الأبعاد الأولية'!$K$1*1000</f>
        <v>0</v>
      </c>
      <c r="D22" s="255">
        <f>'2-تحديد الحمولات'!G23</f>
        <v>943.74609375000011</v>
      </c>
      <c r="E22" s="82">
        <v>84.660862273208977</v>
      </c>
      <c r="F22" s="82" t="str">
        <f>IF(E22&gt;'[1]1- تحديد الأبعاد الأولية'!$I$3*1000," المحور المحايد في الجسد","المحور المحايد في الجناح")</f>
        <v>المحور المحايد في الجناح</v>
      </c>
      <c r="G22" s="82">
        <f>'2-تحديد الحمولات'!G23*10^6-0.9*0.85*'0- المعطيات'!$I$23*(('1- تحديد الأبعاد الأولية'!$K$1-'1- تحديد الأبعاد الأولية'!$I$12)*1000*'1- تحديد الأبعاد الأولية'!$I$3*1000*('1- تحديد الأبعاد الأولية'!$D33*1000-'3- مسار الكابل'!$C24*1000-'1- تحديد الأبعاد الأولية'!$I$3*1000/2)+'1- تحديد الأبعاد الأولية'!$I$12*1000*('1- تحديد الأبعاد الأولية'!$D33*1000-'3- مسار الكابل'!$C24*1000-H22/2)*H22)</f>
        <v>0</v>
      </c>
      <c r="H22" s="82">
        <v>16.088704062878847</v>
      </c>
      <c r="I22" s="82">
        <f>IF(E22/1000&gt;'1- تحديد الأبعاد الأولية'!I17,H22,E22)</f>
        <v>16.088704062878847</v>
      </c>
      <c r="J22" s="256">
        <f t="shared" si="6"/>
        <v>5.2079999999999991E-3</v>
      </c>
      <c r="K22" s="256">
        <f>0.003*('1- تحديد الأبعاد الأولية'!D33*1000-'3- مسار الكابل'!C24*1000-'5-تحقيق العزم في مرحلة الانكسار'!$E$2/0.85)/'5-تحقيق العزم في مرحلة الانكسار'!$E$2*0.85</f>
        <v>1.6913469547748515E-3</v>
      </c>
      <c r="L22" s="256">
        <f t="shared" si="3"/>
        <v>6.8993469547748501E-3</v>
      </c>
      <c r="M22" s="82" t="str">
        <f t="shared" si="0"/>
        <v>لم يصل لسيلان</v>
      </c>
      <c r="N22" s="255">
        <f>'4 - حساب قوة سبق الاجهاد'!$C$34*'0- المعطيات'!$I$32*1000*('0- المعطيات'!$I$24/'0- المعطيات'!$I$32/1000+0.003*('1- تحديد الأبعاد الأولية'!D33*1000-'3- مسار الكابل'!C24*1000-'5-تحقيق العزم في مرحلة الانكسار'!O22/0.85)/'5-تحقيق العزم في مرحلة الانكسار'!O22*0.85)-0.85 *'0- المعطيات'!$I$23*(('1- تحديد الأبعاد الأولية'!$K$1-'1- تحديد الأبعاد الأولية'!$I$12)*'1- تحديد الأبعاد الأولية'!$I$3*1000000+'1- تحديد الأبعاد الأولية'!$I$12*1000*'5-تحقيق العزم في مرحلة الانكسار'!O22)</f>
        <v>-6.8172812461853027E-7</v>
      </c>
      <c r="O22" s="82">
        <v>394.47889623870259</v>
      </c>
      <c r="P22" s="82">
        <f t="shared" si="1"/>
        <v>394.47889623870259</v>
      </c>
      <c r="Q22" s="257">
        <f>(0.9*0.85*'0- المعطيات'!$I$23*(('1- تحديد الأبعاد الأولية'!$K$1-'1- تحديد الأبعاد الأولية'!$I$12)*1000*'1- تحديد الأبعاد الأولية'!$I$3*1000*('1- تحديد الأبعاد الأولية'!$D33*1000-'3- مسار الكابل'!$C24*1000-'1- تحديد الأبعاد الأولية'!$I$3*1000/2)+'1- تحديد الأبعاد الأولية'!$I$12*1000*('1- تحديد الأبعاد الأولية'!$D33*1000-'3- مسار الكابل'!$C24*1000-P22/2)*P22))/10^6</f>
        <v>3095.4053523697826</v>
      </c>
      <c r="R22" s="82" t="str">
        <f t="shared" si="4"/>
        <v xml:space="preserve"> المقطع محقق</v>
      </c>
      <c r="S22" s="257">
        <f t="shared" si="5"/>
        <v>0.30488610902849489</v>
      </c>
    </row>
    <row r="23" spans="1:19" x14ac:dyDescent="0.25">
      <c r="A23" s="102">
        <f t="shared" si="2"/>
        <v>0</v>
      </c>
      <c r="B23" s="258">
        <f>'2-تحديد الحمولات'!A24</f>
        <v>15</v>
      </c>
      <c r="C23" s="82">
        <f>'2-تحديد الحمولات'!G24*10^6-0.9*0.85*'0- المعطيات'!$I$23*('1- تحديد الأبعاد الأولية'!D34*1000-'3- مسار الكابل'!C25*1000-E23/2)*E23*'1- تحديد الأبعاد الأولية'!$K$1*1000</f>
        <v>0</v>
      </c>
      <c r="D23" s="255">
        <f>'2-تحديد الحمولات'!G24</f>
        <v>0</v>
      </c>
      <c r="E23" s="82">
        <v>0</v>
      </c>
      <c r="F23" s="82" t="str">
        <f>IF(E23&gt;'[1]1- تحديد الأبعاد الأولية'!$I$3*1000," المحور المحايد في الجسد","المحور المحايد في الجناح")</f>
        <v>المحور المحايد في الجناح</v>
      </c>
      <c r="G23" s="82">
        <f>'2-تحديد الحمولات'!G24*10^6-0.9*0.85*'0- المعطيات'!$I$23*(('1- تحديد الأبعاد الأولية'!$K$1-'1- تحديد الأبعاد الأولية'!$I$12)*1000*'1- تحديد الأبعاد الأولية'!$I$3*1000*('1- تحديد الأبعاد الأولية'!$D34*1000-'3- مسار الكابل'!$C25*1000-'1- تحديد الأبعاد الأولية'!$I$3*1000/2)+'1- تحديد الأبعاد الأولية'!$I$12*1000*('1- تحديد الأبعاد الأولية'!$D34*1000-'3- مسار الكابل'!$C25*1000-H23/2)*H23)</f>
        <v>9.9744647741317757E-8</v>
      </c>
      <c r="H23" s="82">
        <v>-93.070330817253534</v>
      </c>
      <c r="I23" s="82">
        <f>IF(E23/1000&gt;'1- تحديد الأبعاد الأولية'!I18,H23,E23)</f>
        <v>0</v>
      </c>
      <c r="J23" s="256">
        <f t="shared" si="6"/>
        <v>5.2079999999999991E-3</v>
      </c>
      <c r="K23" s="256">
        <f>0.003*('1- تحديد الأبعاد الأولية'!D34*1000-'3- مسار الكابل'!C25*1000-'5-تحقيق العزم في مرحلة الانكسار'!$E$2/0.85)/'5-تحقيق العزم في مرحلة الانكسار'!$E$2*0.85</f>
        <v>9.8261796266352862E-4</v>
      </c>
      <c r="L23" s="256">
        <f t="shared" si="3"/>
        <v>6.1906179626635277E-3</v>
      </c>
      <c r="M23" s="82" t="str">
        <f t="shared" si="0"/>
        <v>لم يصل لسيلان</v>
      </c>
      <c r="N23" s="255">
        <f>'4 - حساب قوة سبق الاجهاد'!$C$34*'0- المعطيات'!$I$32*1000*('0- المعطيات'!$I$24/'0- المعطيات'!$I$32/1000+0.003*('1- تحديد الأبعاد الأولية'!D34*1000-'3- مسار الكابل'!C25*1000-'5-تحقيق العزم في مرحلة الانكسار'!O23/0.85)/'5-تحقيق العزم في مرحلة الانكسار'!O23*0.85)-0.85 *'0- المعطيات'!$I$23*(('1- تحديد الأبعاد الأولية'!$K$1-'1- تحديد الأبعاد الأولية'!$I$12)*'1- تحديد الأبعاد الأولية'!$I$3*1000000+'1- تحديد الأبعاد الأولية'!$I$12*1000*'5-تحقيق العزم في مرحلة الانكسار'!O23)</f>
        <v>-2.0489096641540527E-8</v>
      </c>
      <c r="O23" s="82">
        <v>369.38056394792733</v>
      </c>
      <c r="P23" s="82">
        <f t="shared" si="1"/>
        <v>369.38056394792733</v>
      </c>
      <c r="Q23" s="257">
        <f>(0.9*0.85*'0- المعطيات'!$I$23*(('1- تحديد الأبعاد الأولية'!$K$1-'1- تحديد الأبعاد الأولية'!$I$12)*1000*'1- تحديد الأبعاد الأولية'!$I$3*1000*('1- تحديد الأبعاد الأولية'!$D34*1000-'3- مسار الكابل'!$C25*1000-'1- تحديد الأبعاد الأولية'!$I$3*1000/2)+'1- تحديد الأبعاد الأولية'!$I$12*1000*('1- تحديد الأبعاد الأولية'!$D34*1000-'3- مسار الكابل'!$C25*1000-P23/2)*P23))/10^6</f>
        <v>2411.2692344510092</v>
      </c>
      <c r="R23" s="82" t="str">
        <f t="shared" si="4"/>
        <v xml:space="preserve"> المقطع محقق</v>
      </c>
      <c r="S23" s="257">
        <f t="shared" si="5"/>
        <v>0</v>
      </c>
    </row>
    <row r="24" spans="1:19" ht="21" thickBot="1" x14ac:dyDescent="0.3"/>
    <row r="25" spans="1:19" ht="27.75" customHeight="1" thickBot="1" x14ac:dyDescent="0.3">
      <c r="B25" s="475" t="s">
        <v>357</v>
      </c>
      <c r="C25" s="476"/>
      <c r="D25" s="477"/>
      <c r="E25" s="259">
        <f>VLOOKUP(MAX(A10:A25),A10:B25,2,FALSE)</f>
        <v>5</v>
      </c>
    </row>
  </sheetData>
  <mergeCells count="5">
    <mergeCell ref="B4:D4"/>
    <mergeCell ref="B2:D2"/>
    <mergeCell ref="B25:D25"/>
    <mergeCell ref="B1:F1"/>
    <mergeCell ref="G1:H1"/>
  </mergeCells>
  <printOptions horizontalCentered="1" verticalCentered="1"/>
  <pageMargins left="0.7" right="0.7" top="0.75" bottom="0.75" header="0.3" footer="0.3"/>
  <pageSetup paperSize="9" scale="60" orientation="landscape" horizontalDpi="1200" verticalDpi="12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4.9989318521683403E-2"/>
    <pageSetUpPr fitToPage="1"/>
  </sheetPr>
  <dimension ref="A1:M20"/>
  <sheetViews>
    <sheetView showGridLines="0" topLeftCell="B1" zoomScale="90" zoomScaleNormal="90" workbookViewId="0">
      <selection activeCell="J24" sqref="J24"/>
    </sheetView>
  </sheetViews>
  <sheetFormatPr defaultColWidth="9" defaultRowHeight="20.25" x14ac:dyDescent="0.25"/>
  <cols>
    <col min="1" max="1" width="0" style="102" hidden="1" customWidth="1"/>
    <col min="2" max="2" width="16.42578125" style="102" bestFit="1" customWidth="1"/>
    <col min="3" max="5" width="9" style="102"/>
    <col min="6" max="6" width="11.28515625" style="102" customWidth="1"/>
    <col min="7" max="7" width="11.42578125" style="102" customWidth="1"/>
    <col min="8" max="8" width="11.140625" style="102" customWidth="1"/>
    <col min="9" max="9" width="15.140625" style="102" customWidth="1"/>
    <col min="10" max="10" width="27" style="102" customWidth="1"/>
    <col min="11" max="11" width="12.28515625" style="248" customWidth="1"/>
    <col min="12" max="12" width="7.5703125" style="102" customWidth="1"/>
    <col min="13" max="16384" width="9" style="102"/>
  </cols>
  <sheetData>
    <row r="1" spans="1:13" ht="27" customHeight="1" x14ac:dyDescent="0.25">
      <c r="B1" s="478" t="s">
        <v>371</v>
      </c>
      <c r="C1" s="479"/>
      <c r="D1" s="479"/>
      <c r="E1" s="479"/>
      <c r="F1" s="479"/>
      <c r="G1" s="479"/>
      <c r="H1" s="479"/>
      <c r="I1" s="479"/>
      <c r="J1" s="479"/>
      <c r="K1" s="479"/>
      <c r="L1" s="479"/>
      <c r="M1" s="480"/>
    </row>
    <row r="2" spans="1:13" ht="43.5" customHeight="1" x14ac:dyDescent="0.25">
      <c r="B2" s="350" t="s">
        <v>360</v>
      </c>
      <c r="C2" s="347" t="s">
        <v>59</v>
      </c>
      <c r="D2" s="347" t="s">
        <v>361</v>
      </c>
      <c r="E2" s="347" t="s">
        <v>362</v>
      </c>
      <c r="F2" s="347" t="s">
        <v>363</v>
      </c>
      <c r="G2" s="347" t="s">
        <v>364</v>
      </c>
      <c r="H2" s="347"/>
      <c r="I2" s="347" t="s">
        <v>365</v>
      </c>
      <c r="J2" s="347" t="s">
        <v>366</v>
      </c>
      <c r="K2" s="351" t="s">
        <v>367</v>
      </c>
      <c r="L2" s="353" t="s">
        <v>370</v>
      </c>
      <c r="M2" s="352" t="s">
        <v>368</v>
      </c>
    </row>
    <row r="3" spans="1:13" x14ac:dyDescent="0.25">
      <c r="A3" s="102">
        <f>G3-I3</f>
        <v>-1.0289557813628341</v>
      </c>
      <c r="B3" s="267">
        <f>'1- تحديد الأبعاد الأولية'!B19</f>
        <v>0</v>
      </c>
      <c r="C3" s="82">
        <f>'1- تحديد الأبعاد الأولية'!C19</f>
        <v>0</v>
      </c>
      <c r="D3" s="82">
        <f>('2-تحديد الحمولات'!$B$3+'2-تحديد الحمولات'!$B$4+'2-تحديد الحمولات'!$B$5)*'0- المعطيات'!$K$10/2-('2-تحديد الحمولات'!$B$3+'2-تحديد الحمولات'!$B$4+'2-تحديد الحمولات'!$B$5)*'2-تحديد الحمولات'!B9</f>
        <v>0</v>
      </c>
      <c r="E3" s="82">
        <f>IF('1- تحديد الأبعاد الأولية'!D19-'3- مسار الكابل'!C10&gt;'1- تحديد الأبعاد الأولية'!D19*0.8,'1- تحديد الأبعاد الأولية'!D19*1000-'3- مسار الكابل'!C10*1000,'1- تحديد الأبعاد الأولية'!D19*0.8*1000)</f>
        <v>1850</v>
      </c>
      <c r="F3" s="82">
        <f>'1- تحديد الأبعاد الأولية'!G19*1000</f>
        <v>400</v>
      </c>
      <c r="G3" s="82">
        <f>D3/E3/F3/0.85*1000</f>
        <v>0</v>
      </c>
      <c r="H3" s="82">
        <f>IF('2-تحديد الحمولات'!B9=0,1E+37,IF((E3)/'2-تحديد الحمولات'!B9*('0- المعطيات'!$K$10-2*'2-تحديد الحمولات'!B9)/('0- المعطيات'!$K$10-'2-تحديد الحمولات'!B9)/1000&gt;1,1,(E3)/'2-تحديد الحمولات'!B9*('0- المعطيات'!$K$10-2*'2-تحديد الحمولات'!B9)/('0- المعطيات'!$K$10-'2-تحديد الحمولات'!B9)/1000))</f>
        <v>0</v>
      </c>
      <c r="I3" s="82">
        <f>IF((0.16*('0- المعطيات'!$I$23*10)^0.5+50*H3)/10&gt;1.25*('0- المعطيات'!$I$23*10)^0.5/10,1.25*('0- المعطيات'!$I$23*10)^0.5/10,IF((0.16*('0- المعطيات'!$I$23*10)^0.5+50*H3)/10&lt;0.55*('0- المعطيات'!$I$23*10)^0.5/10,0.55*('0- المعطيات'!$I$23*10)^0.5/10,(0.16*('0- المعطيات'!$I$23*10)^0.5+50*H3)/10))</f>
        <v>1.0289557813628341</v>
      </c>
      <c r="J3" s="82" t="str">
        <f>IF(G3-I3&gt;2*('0- المعطيات'!$I$23)^0.5,"يجب تكبير ابعاد المقطع",IF(G3&lt;=I3,"نحتاج تسليح قص انشائي","نحتاج تسليح قص حسابي"))</f>
        <v>نحتاج تسليح قص انشائي</v>
      </c>
      <c r="K3" s="255">
        <f>IF(G3-I3&gt;2*('0- المعطيات'!$I$23)^0.5,"يجب تكبير ابعاد المقطع",IF(G3&lt;=I3,0.35*F3*$G$20/L3*10/2/'0- المعطيات'!$I$46,(-I3+G3)*F3*$G$20/L3*10/2/'0- المعطيات'!$I$46))</f>
        <v>52.5</v>
      </c>
      <c r="L3" s="268">
        <f>1</f>
        <v>1</v>
      </c>
      <c r="M3" s="268">
        <f t="shared" ref="M3:M18" si="0">CEILING((K3*4/PI())^0.5,2)</f>
        <v>10</v>
      </c>
    </row>
    <row r="4" spans="1:13" x14ac:dyDescent="0.25">
      <c r="A4" s="102">
        <f t="shared" ref="A4:A18" si="1">G4-I4</f>
        <v>-0.92248133284478273</v>
      </c>
      <c r="B4" s="267">
        <f>'1- تحديد الأبعاد الأولية'!B20</f>
        <v>1</v>
      </c>
      <c r="C4" s="82">
        <f>'1- تحديد الأبعاد الأولية'!C20</f>
        <v>1</v>
      </c>
      <c r="D4" s="82">
        <f>('2-تحديد الحمولات'!$B$3+'2-تحديد الحمولات'!$B$4+'2-تحديد الحمولات'!$B$5)*'0- المعطيات'!$K$10/2-('2-تحديد الحمولات'!$B$3+'2-تحديد الحمولات'!$B$4+'2-تحديد الحمولات'!$B$5)*'2-تحديد الحمولات'!B10</f>
        <v>65.0859375</v>
      </c>
      <c r="E4" s="82">
        <f>IF('1- تحديد الأبعاد الأولية'!D20-'3- مسار الكابل'!C11&gt;'1- تحديد الأبعاد الأولية'!D20*0.8,'1- تحديد الأبعاد الأولية'!D20*1000-'3- مسار الكابل'!C11*1000,'1- تحديد الأبعاد الأولية'!D20*0.8*1000)</f>
        <v>1797.8888888888889</v>
      </c>
      <c r="F4" s="82">
        <f>'1- تحديد الأبعاد الأولية'!G20*1000</f>
        <v>400</v>
      </c>
      <c r="G4" s="82">
        <f t="shared" ref="G4:G17" si="2">D4/E4/F4/0.85*1000</f>
        <v>0.10647444851805131</v>
      </c>
      <c r="H4" s="82">
        <f>IF('2-تحديد الحمولات'!B10=0,1E+37,IF((E4)/'2-تحديد الحمولات'!B10*('0- المعطيات'!$K$10-2*'2-تحديد الحمولات'!B10)/('0- المعطيات'!$K$10-'2-تحديد الحمولات'!B10)/1000&gt;1,1,(E4)/'2-تحديد الحمولات'!B10*('0- المعطيات'!$K$10-2*'2-تحديد الحمولات'!B10)/('0- المعطيات'!$K$10-'2-تحديد الحمولات'!B10)/1000))</f>
        <v>1.6052579365079363E-2</v>
      </c>
      <c r="I4" s="82">
        <f>IF((0.16*('0- المعطيات'!$I$23*10)^0.5+50*H4)/10&gt;1.25*('0- المعطيات'!$I$23*10)^0.5/10,1.25*('0- المعطيات'!$I$23*10)^0.5/10,IF((0.16*('0- المعطيات'!$I$23*10)^0.5+50*H4)/10&lt;0.55*('0- المعطيات'!$I$23*10)^0.5/10,0.55*('0- المعطيات'!$I$23*10)^0.5/10,(0.16*('0- المعطيات'!$I$23*10)^0.5+50*H4)/10))</f>
        <v>1.0289557813628341</v>
      </c>
      <c r="J4" s="82" t="str">
        <f>IF(G4-I4&gt;2*('0- المعطيات'!$I$23)^0.5,"يجب تكبير ابعاد المقطع",IF(G4&lt;=I4,"نحتاج تسليح قص انشائي","نحتاج تسليح قص حسابي"))</f>
        <v>نحتاج تسليح قص انشائي</v>
      </c>
      <c r="K4" s="255">
        <f>IF(G4-I4&gt;2*('0- المعطيات'!$I$23)^0.5,"يجب تكبير ابعاد المقطع",IF(G4&lt;=I4,0.35*F4*$G$20/L4*10/2/'0- المعطيات'!$I$46,(-I4+G4)*F4*$G$20/L4*10/2/'0- المعطيات'!$I$46))</f>
        <v>52.5</v>
      </c>
      <c r="L4" s="268">
        <f>1</f>
        <v>1</v>
      </c>
      <c r="M4" s="268">
        <f t="shared" si="0"/>
        <v>10</v>
      </c>
    </row>
    <row r="5" spans="1:13" x14ac:dyDescent="0.25">
      <c r="A5" s="102">
        <f t="shared" si="1"/>
        <v>-0.80911871979966088</v>
      </c>
      <c r="B5" s="267">
        <f>'1- تحديد الأبعاد الأولية'!B21</f>
        <v>2</v>
      </c>
      <c r="C5" s="82">
        <f>'1- تحديد الأبعاد الأولية'!C21</f>
        <v>2</v>
      </c>
      <c r="D5" s="82">
        <f>('2-تحديد الحمولات'!$B$3+'2-تحديد الحمولات'!$B$4+'2-تحديد الحمولات'!$B$5)*'0- المعطيات'!$K$10/2-('2-تحديد الحمولات'!$B$3+'2-تحديد الحمولات'!$B$4+'2-تحديد الحمولات'!$B$5)*'2-تحديد الحمولات'!B11</f>
        <v>130.171875</v>
      </c>
      <c r="E5" s="82">
        <f>IF('1- تحديد الأبعاد الأولية'!D21-'3- مسار الكابل'!C12&gt;'1- تحديد الأبعاد الأولية'!D21*0.8,'1- تحديد الأبعاد الأولية'!D21*1000-'3- مسار الكابل'!C12*1000,'1- تحديد الأبعاد الأولية'!D21*0.8*1000)</f>
        <v>1741.5555555555557</v>
      </c>
      <c r="F5" s="82">
        <f>'1- تحديد الأبعاد الأولية'!G21*1000</f>
        <v>400</v>
      </c>
      <c r="G5" s="82">
        <f t="shared" si="2"/>
        <v>0.21983706156317318</v>
      </c>
      <c r="H5" s="82">
        <f>IF('2-تحديد الحمولات'!B11=0,1E+37,IF((E5)/'2-تحديد الحمولات'!B11*('0- المعطيات'!$K$10-2*'2-تحديد الحمولات'!B11)/('0- المعطيات'!$K$10-'2-تحديد الحمولات'!B11)/1000&gt;1,1,(E5)/'2-تحديد الحمولات'!B11*('0- المعطيات'!$K$10-2*'2-تحديد الحمولات'!B11)/('0- المعطيات'!$K$10-'2-تحديد الحمولات'!B11)/1000))</f>
        <v>3.152136752136752E-2</v>
      </c>
      <c r="I5" s="82">
        <f>IF((0.16*('0- المعطيات'!$I$23*10)^0.5+50*H5)/10&gt;1.25*('0- المعطيات'!$I$23*10)^0.5/10,1.25*('0- المعطيات'!$I$23*10)^0.5/10,IF((0.16*('0- المعطيات'!$I$23*10)^0.5+50*H5)/10&lt;0.55*('0- المعطيات'!$I$23*10)^0.5/10,0.55*('0- المعطيات'!$I$23*10)^0.5/10,(0.16*('0- المعطيات'!$I$23*10)^0.5+50*H5)/10))</f>
        <v>1.0289557813628341</v>
      </c>
      <c r="J5" s="82" t="str">
        <f>IF(G5-I5&gt;2*('0- المعطيات'!$I$23)^0.5,"يجب تكبير ابعاد المقطع",IF(G5&lt;=I5,"نحتاج تسليح قص انشائي","نحتاج تسليح قص حسابي"))</f>
        <v>نحتاج تسليح قص انشائي</v>
      </c>
      <c r="K5" s="255">
        <f>IF(G5-I5&gt;2*('0- المعطيات'!$I$23)^0.5,"يجب تكبير ابعاد المقطع",IF(G5&lt;=I5,0.35*F5*$G$20/L5*10/2/'0- المعطيات'!$I$46,(-I5+G5)*F5*$G$20/L5*10/2/'0- المعطيات'!$I$46))</f>
        <v>52.5</v>
      </c>
      <c r="L5" s="268">
        <f>1</f>
        <v>1</v>
      </c>
      <c r="M5" s="268">
        <f t="shared" si="0"/>
        <v>10</v>
      </c>
    </row>
    <row r="6" spans="1:13" x14ac:dyDescent="0.25">
      <c r="A6" s="102">
        <f t="shared" si="1"/>
        <v>-0.68732122822569575</v>
      </c>
      <c r="B6" s="267">
        <f>'1- تحديد الأبعاد الأولية'!B22</f>
        <v>3</v>
      </c>
      <c r="C6" s="82">
        <f>'1- تحديد الأبعاد الأولية'!C22</f>
        <v>3</v>
      </c>
      <c r="D6" s="82">
        <f>('2-تحديد الحمولات'!$B$3+'2-تحديد الحمولات'!$B$4+'2-تحديد الحمولات'!$B$5)*'0- المعطيات'!$K$10/2-('2-تحديد الحمولات'!$B$3+'2-تحديد الحمولات'!$B$4+'2-تحديد الحمولات'!$B$5)*'2-تحديد الحمولات'!B12</f>
        <v>195.2578125</v>
      </c>
      <c r="E6" s="82">
        <f>IF('1- تحديد الأبعاد الأولية'!D22-'3- مسار الكابل'!C13&gt;'1- تحديد الأبعاد الأولية'!D22*0.8,'1- تحديد الأبعاد الأولية'!D22*1000-'3- مسار الكابل'!C13*1000,'1- تحديد الأبعاد الأولية'!D22*0.8*1000)</f>
        <v>1680.9999999999998</v>
      </c>
      <c r="F6" s="82">
        <f>'1- تحديد الأبعاد الأولية'!G22*1000</f>
        <v>400</v>
      </c>
      <c r="G6" s="82">
        <f t="shared" si="2"/>
        <v>0.34163455313713836</v>
      </c>
      <c r="H6" s="82">
        <f>IF('2-تحديد الحمولات'!B12=0,1E+37,IF((E6)/'2-تحديد الحمولات'!B12*('0- المعطيات'!$K$10-2*'2-تحديد الحمولات'!B12)/('0- المعطيات'!$K$10-'2-تحديد الحمولات'!B12)/1000&gt;1,1,(E6)/'2-تحديد الحمولات'!B12*('0- المعطيات'!$K$10-2*'2-تحديد الحمولات'!B12)/('0- المعطيات'!$K$10-'2-تحديد الحمولات'!B12)/1000))</f>
        <v>4.6694444444444434E-2</v>
      </c>
      <c r="I6" s="82">
        <f>IF((0.16*('0- المعطيات'!$I$23*10)^0.5+50*H6)/10&gt;1.25*('0- المعطيات'!$I$23*10)^0.5/10,1.25*('0- المعطيات'!$I$23*10)^0.5/10,IF((0.16*('0- المعطيات'!$I$23*10)^0.5+50*H6)/10&lt;0.55*('0- المعطيات'!$I$23*10)^0.5/10,0.55*('0- المعطيات'!$I$23*10)^0.5/10,(0.16*('0- المعطيات'!$I$23*10)^0.5+50*H6)/10))</f>
        <v>1.0289557813628341</v>
      </c>
      <c r="J6" s="82" t="str">
        <f>IF(G6-I6&gt;2*('0- المعطيات'!$I$23)^0.5,"يجب تكبير ابعاد المقطع",IF(G6&lt;=I6,"نحتاج تسليح قص انشائي","نحتاج تسليح قص حسابي"))</f>
        <v>نحتاج تسليح قص انشائي</v>
      </c>
      <c r="K6" s="255">
        <f>IF(G6-I6&gt;2*('0- المعطيات'!$I$23)^0.5,"يجب تكبير ابعاد المقطع",IF(G6&lt;=I6,0.35*F6*$G$20/L6*10/2/'0- المعطيات'!$I$46,(-I6+G6)*F6*$G$20/L6*10/2/'0- المعطيات'!$I$46))</f>
        <v>52.5</v>
      </c>
      <c r="L6" s="268">
        <f>1</f>
        <v>1</v>
      </c>
      <c r="M6" s="268">
        <f t="shared" si="0"/>
        <v>10</v>
      </c>
    </row>
    <row r="7" spans="1:13" x14ac:dyDescent="0.25">
      <c r="A7" s="102">
        <f t="shared" si="1"/>
        <v>-0.55518620856740197</v>
      </c>
      <c r="B7" s="267">
        <f>'1- تحديد الأبعاد الأولية'!B23</f>
        <v>4</v>
      </c>
      <c r="C7" s="82">
        <f>'1- تحديد الأبعاد الأولية'!C23</f>
        <v>4</v>
      </c>
      <c r="D7" s="82">
        <f>('2-تحديد الحمولات'!$B$3+'2-تحديد الحمولات'!$B$4+'2-تحديد الحمولات'!$B$5)*'0- المعطيات'!$K$10/2-('2-تحديد الحمولات'!$B$3+'2-تحديد الحمولات'!$B$4+'2-تحديد الحمولات'!$B$5)*'2-تحديد الحمولات'!B13</f>
        <v>260.34375</v>
      </c>
      <c r="E7" s="82">
        <f>IF('1- تحديد الأبعاد الأولية'!D23-'3- مسار الكابل'!C14&gt;'1- تحديد الأبعاد الأولية'!D23*0.8,'1- تحديد الأبعاد الأولية'!D23*1000-'3- مسار الكابل'!C14*1000,'1- تحديد الأبعاد الأولية'!D23*0.8*1000)</f>
        <v>1616.2222222222219</v>
      </c>
      <c r="F7" s="82">
        <f>'1- تحديد الأبعاد الأولية'!G23*1000</f>
        <v>400</v>
      </c>
      <c r="G7" s="82">
        <f t="shared" si="2"/>
        <v>0.47376957279543208</v>
      </c>
      <c r="H7" s="82">
        <f>IF('2-تحديد الحمولات'!B13=0,1E+37,IF((E7)/'2-تحديد الحمولات'!B13*('0- المعطيات'!$K$10-2*'2-تحديد الحمولات'!B13)/('0- المعطيات'!$K$10-'2-تحديد الحمولات'!B13)/1000&gt;1,1,(E7)/'2-تحديد الحمولات'!B13*('0- المعطيات'!$K$10-2*'2-تحديد الحمولات'!B13)/('0- المعطيات'!$K$10-'2-تحديد الحمولات'!B13)/1000))</f>
        <v>6.1864965443912803E-2</v>
      </c>
      <c r="I7" s="82">
        <f>IF((0.16*('0- المعطيات'!$I$23*10)^0.5+50*H7)/10&gt;1.25*('0- المعطيات'!$I$23*10)^0.5/10,1.25*('0- المعطيات'!$I$23*10)^0.5/10,IF((0.16*('0- المعطيات'!$I$23*10)^0.5+50*H7)/10&lt;0.55*('0- المعطيات'!$I$23*10)^0.5/10,0.55*('0- المعطيات'!$I$23*10)^0.5/10,(0.16*('0- المعطيات'!$I$23*10)^0.5+50*H7)/10))</f>
        <v>1.0289557813628341</v>
      </c>
      <c r="J7" s="82" t="str">
        <f>IF(G7-I7&gt;2*('0- المعطيات'!$I$23)^0.5,"يجب تكبير ابعاد المقطع",IF(G7&lt;=I7,"نحتاج تسليح قص انشائي","نحتاج تسليح قص حسابي"))</f>
        <v>نحتاج تسليح قص انشائي</v>
      </c>
      <c r="K7" s="255">
        <f>IF(G7-I7&gt;2*('0- المعطيات'!$I$23)^0.5,"يجب تكبير ابعاد المقطع",IF(G7&lt;=I7,0.35*F7*$G$20/L7*10/2/'0- المعطيات'!$I$46,(-I7+G7)*F7*$G$20/L7*10/2/'0- المعطيات'!$I$46))</f>
        <v>52.5</v>
      </c>
      <c r="L7" s="268">
        <f>1</f>
        <v>1</v>
      </c>
      <c r="M7" s="268">
        <f t="shared" si="0"/>
        <v>10</v>
      </c>
    </row>
    <row r="8" spans="1:13" x14ac:dyDescent="0.25">
      <c r="A8" s="102">
        <f t="shared" si="1"/>
        <v>-0.41033350076298192</v>
      </c>
      <c r="B8" s="267">
        <f>'1- تحديد الأبعاد الأولية'!B24</f>
        <v>5</v>
      </c>
      <c r="C8" s="82">
        <f>'1- تحديد الأبعاد الأولية'!C24</f>
        <v>5</v>
      </c>
      <c r="D8" s="82">
        <f>('2-تحديد الحمولات'!$B$3+'2-تحديد الحمولات'!$B$4+'2-تحديد الحمولات'!$B$5)*'0- المعطيات'!$K$10/2-('2-تحديد الحمولات'!$B$3+'2-تحديد الحمولات'!$B$4+'2-تحديد الحمولات'!$B$5)*'2-تحديد الحمولات'!B14</f>
        <v>325.4296875</v>
      </c>
      <c r="E8" s="82">
        <f>IF('1- تحديد الأبعاد الأولية'!D24-'3- مسار الكابل'!C15&gt;'1- تحديد الأبعاد الأولية'!D24*0.8,'1- تحديد الأبعاد الأولية'!D24*1000-'3- مسار الكابل'!C15*1000,'1- تحديد الأبعاد الأولية'!D24*0.8*1000)</f>
        <v>1547.2222222222222</v>
      </c>
      <c r="F8" s="82">
        <f>'1- تحديد الأبعاد الأولية'!G24*1000</f>
        <v>400</v>
      </c>
      <c r="G8" s="82">
        <f t="shared" si="2"/>
        <v>0.61862228059985214</v>
      </c>
      <c r="H8" s="82">
        <f>IF('2-تحديد الحمولات'!B14=0,1E+37,IF((E8)/'2-تحديد الحمولات'!B14*('0- المعطيات'!$K$10-2*'2-تحديد الحمولات'!B14)/('0- المعطيات'!$K$10-'2-تحديد الحمولات'!B14)/1000&gt;1,1,(E8)/'2-تحديد الحمولات'!B14*('0- المعطيات'!$K$10-2*'2-تحديد الحمولات'!B14)/('0- المعطيات'!$K$10-'2-تحديد الحمولات'!B14)/1000))</f>
        <v>7.7361111111111117E-2</v>
      </c>
      <c r="I8" s="82">
        <f>IF((0.16*('0- المعطيات'!$I$23*10)^0.5+50*H8)/10&gt;1.25*('0- المعطيات'!$I$23*10)^0.5/10,1.25*('0- المعطيات'!$I$23*10)^0.5/10,IF((0.16*('0- المعطيات'!$I$23*10)^0.5+50*H8)/10&lt;0.55*('0- المعطيات'!$I$23*10)^0.5/10,0.55*('0- المعطيات'!$I$23*10)^0.5/10,(0.16*('0- المعطيات'!$I$23*10)^0.5+50*H8)/10))</f>
        <v>1.0289557813628341</v>
      </c>
      <c r="J8" s="82" t="str">
        <f>IF(G8-I8&gt;2*('0- المعطيات'!$I$23)^0.5,"يجب تكبير ابعاد المقطع",IF(G8&lt;=I8,"نحتاج تسليح قص انشائي","نحتاج تسليح قص حسابي"))</f>
        <v>نحتاج تسليح قص انشائي</v>
      </c>
      <c r="K8" s="255">
        <f>IF(G8-I8&gt;2*('0- المعطيات'!$I$23)^0.5,"يجب تكبير ابعاد المقطع",IF(G8&lt;=I8,0.35*F8*$G$20/L8*10/2/'0- المعطيات'!$I$46,(-I8+G8)*F8*$G$20/L8*10/2/'0- المعطيات'!$I$46))</f>
        <v>52.5</v>
      </c>
      <c r="L8" s="268">
        <f>1</f>
        <v>1</v>
      </c>
      <c r="M8" s="268">
        <f t="shared" si="0"/>
        <v>10</v>
      </c>
    </row>
    <row r="9" spans="1:13" x14ac:dyDescent="0.25">
      <c r="A9" s="102">
        <f t="shared" si="1"/>
        <v>-0.24973232977052795</v>
      </c>
      <c r="B9" s="267">
        <f>'1- تحديد الأبعاد الأولية'!B25</f>
        <v>6</v>
      </c>
      <c r="C9" s="82">
        <f>'1- تحديد الأبعاد الأولية'!C25</f>
        <v>6</v>
      </c>
      <c r="D9" s="82">
        <f>('2-تحديد الحمولات'!$B$3+'2-تحديد الحمولات'!$B$4+'2-تحديد الحمولات'!$B$5)*'0- المعطيات'!$K$10/2-('2-تحديد الحمولات'!$B$3+'2-تحديد الحمولات'!$B$4+'2-تحديد الحمولات'!$B$5)*'2-تحديد الحمولات'!B15</f>
        <v>390.515625</v>
      </c>
      <c r="E9" s="82">
        <f>IF('1- تحديد الأبعاد الأولية'!D25-'3- مسار الكابل'!C16&gt;'1- تحديد الأبعاد الأولية'!D25*0.8,'1- تحديد الأبعاد الأولية'!D25*1000-'3- مسار الكابل'!C16*1000,'1- تحديد الأبعاد الأولية'!D25*0.8*1000)</f>
        <v>1473.9999999999998</v>
      </c>
      <c r="F9" s="82">
        <f>'1- تحديد الأبعاد الأولية'!G25*1000</f>
        <v>400</v>
      </c>
      <c r="G9" s="82">
        <f t="shared" si="2"/>
        <v>0.7792234515923061</v>
      </c>
      <c r="H9" s="82">
        <f>IF('2-تحديد الحمولات'!B15=0,1E+37,IF((E9)/'2-تحديد الحمولات'!B15*('0- المعطيات'!$K$10-2*'2-تحديد الحمولات'!B15)/('0- المعطيات'!$K$10-'2-تحديد الحمولات'!B15)/1000&gt;1,1,(E9)/'2-تحديد الحمولات'!B15*('0- المعطيات'!$K$10-2*'2-تحديد الحمولات'!B15)/('0- المعطيات'!$K$10-'2-تحديد الحمولات'!B15)/1000))</f>
        <v>9.3587301587301566E-2</v>
      </c>
      <c r="I9" s="82">
        <f>IF((0.16*('0- المعطيات'!$I$23*10)^0.5+50*H9)/10&gt;1.25*('0- المعطيات'!$I$23*10)^0.5/10,1.25*('0- المعطيات'!$I$23*10)^0.5/10,IF((0.16*('0- المعطيات'!$I$23*10)^0.5+50*H9)/10&lt;0.55*('0- المعطيات'!$I$23*10)^0.5/10,0.55*('0- المعطيات'!$I$23*10)^0.5/10,(0.16*('0- المعطيات'!$I$23*10)^0.5+50*H9)/10))</f>
        <v>1.0289557813628341</v>
      </c>
      <c r="J9" s="82" t="str">
        <f>IF(G9-I9&gt;2*('0- المعطيات'!$I$23)^0.5,"يجب تكبير ابعاد المقطع",IF(G9&lt;=I9,"نحتاج تسليح قص انشائي","نحتاج تسليح قص حسابي"))</f>
        <v>نحتاج تسليح قص انشائي</v>
      </c>
      <c r="K9" s="255">
        <f>IF(G9-I9&gt;2*('0- المعطيات'!$I$23)^0.5,"يجب تكبير ابعاد المقطع",IF(G9&lt;=I9,0.35*F9*$G$20/L9*10/2/'0- المعطيات'!$I$46,(-I9+G9)*F9*$G$20/L9*10/2/'0- المعطيات'!$I$46))</f>
        <v>52.5</v>
      </c>
      <c r="L9" s="268">
        <f>1</f>
        <v>1</v>
      </c>
      <c r="M9" s="268">
        <f t="shared" si="0"/>
        <v>10</v>
      </c>
    </row>
    <row r="10" spans="1:13" x14ac:dyDescent="0.25">
      <c r="A10" s="102">
        <f t="shared" si="1"/>
        <v>-6.9448950247063546E-2</v>
      </c>
      <c r="B10" s="267">
        <f>'1- تحديد الأبعاد الأولية'!B26</f>
        <v>7</v>
      </c>
      <c r="C10" s="82">
        <f>'1- تحديد الأبعاد الأولية'!C26</f>
        <v>7</v>
      </c>
      <c r="D10" s="82">
        <f>('2-تحديد الحمولات'!$B$3+'2-تحديد الحمولات'!$B$4+'2-تحديد الحمولات'!$B$5)*'0- المعطيات'!$K$10/2-('2-تحديد الحمولات'!$B$3+'2-تحديد الحمولات'!$B$4+'2-تحديد الحمولات'!$B$5)*'2-تحديد الحمولات'!B16</f>
        <v>455.6015625</v>
      </c>
      <c r="E10" s="82">
        <f>IF('1- تحديد الأبعاد الأولية'!D26-'3- مسار الكابل'!C17&gt;'1- تحديد الأبعاد الأولية'!D26*0.8,'1- تحديد الأبعاد الأولية'!D26*1000-'3- مسار الكابل'!C17*1000,'1- تحديد الأبعاد الأولية'!D26*0.8*1000)</f>
        <v>1396.5555555555554</v>
      </c>
      <c r="F10" s="82">
        <f>'1- تحديد الأبعاد الأولية'!G26*1000</f>
        <v>400</v>
      </c>
      <c r="G10" s="82">
        <f t="shared" si="2"/>
        <v>0.95950683111577051</v>
      </c>
      <c r="H10" s="82">
        <f>IF('2-تحديد الحمولات'!B16=0,1E+37,IF((E10)/'2-تحديد الحمولات'!B16*('0- المعطيات'!$K$10-2*'2-تحديد الحمولات'!B16)/('0- المعطيات'!$K$10-'2-تحديد الحمولات'!B16)/1000&gt;1,1,(E10)/'2-تحديد الحمولات'!B16*('0- المعطيات'!$K$10-2*'2-تحديد الحمولات'!B16)/('0- المعطيات'!$K$10-'2-تحديد الحمولات'!B16)/1000))</f>
        <v>0.11108964646464646</v>
      </c>
      <c r="I10" s="82">
        <f>IF((0.16*('0- المعطيات'!$I$23*10)^0.5+50*H10)/10&gt;1.25*('0- المعطيات'!$I$23*10)^0.5/10,1.25*('0- المعطيات'!$I$23*10)^0.5/10,IF((0.16*('0- المعطيات'!$I$23*10)^0.5+50*H10)/10&lt;0.55*('0- المعطيات'!$I$23*10)^0.5/10,0.55*('0- المعطيات'!$I$23*10)^0.5/10,(0.16*('0- المعطيات'!$I$23*10)^0.5+50*H10)/10))</f>
        <v>1.0289557813628341</v>
      </c>
      <c r="J10" s="82" t="str">
        <f>IF(G10-I10&gt;2*('0- المعطيات'!$I$23)^0.5,"يجب تكبير ابعاد المقطع",IF(G10&lt;=I10,"نحتاج تسليح قص انشائي","نحتاج تسليح قص حسابي"))</f>
        <v>نحتاج تسليح قص انشائي</v>
      </c>
      <c r="K10" s="255">
        <f>IF(G10-I10&gt;2*('0- المعطيات'!$I$23)^0.5,"يجب تكبير ابعاد المقطع",IF(G10&lt;=I10,0.35*F10*$G$20/L10*10/2/'0- المعطيات'!$I$46,(-I10+G10)*F10*$G$20/L10*10/2/'0- المعطيات'!$I$46))</f>
        <v>52.5</v>
      </c>
      <c r="L10" s="268">
        <f>1</f>
        <v>1</v>
      </c>
      <c r="M10" s="268">
        <f t="shared" si="0"/>
        <v>10</v>
      </c>
    </row>
    <row r="11" spans="1:13" x14ac:dyDescent="0.25">
      <c r="A11" s="102">
        <f t="shared" si="1"/>
        <v>0.13573108797675593</v>
      </c>
      <c r="B11" s="267">
        <f>'1- تحديد الأبعاد الأولية'!B27</f>
        <v>8</v>
      </c>
      <c r="C11" s="82">
        <f>'1- تحديد الأبعاد الأولية'!C27</f>
        <v>8</v>
      </c>
      <c r="D11" s="82">
        <f>('2-تحديد الحمولات'!$B$3+'2-تحديد الحمولات'!$B$4+'2-تحديد الحمولات'!$B$5)*'0- المعطيات'!$K$10/2-('2-تحديد الحمولات'!$B$3+'2-تحديد الحمولات'!$B$4+'2-تحديد الحمولات'!$B$5)*'2-تحديد الحمولات'!B17</f>
        <v>520.6875</v>
      </c>
      <c r="E11" s="82">
        <f>IF('1- تحديد الأبعاد الأولية'!D27-'3- مسار الكابل'!C18&gt;'1- تحديد الأبعاد الأولية'!D27*0.8,'1- تحديد الأبعاد الأولية'!D27*1000-'3- مسار الكابل'!C18*1000,'1- تحديد الأبعاد الأولية'!D27*0.8*1000)</f>
        <v>1314.8888888888887</v>
      </c>
      <c r="F11" s="82">
        <f>'1- تحديد الأبعاد الأولية'!G27*1000</f>
        <v>400</v>
      </c>
      <c r="G11" s="82">
        <f t="shared" si="2"/>
        <v>1.16468686933959</v>
      </c>
      <c r="H11" s="82">
        <f>IF('2-تحديد الحمولات'!B17=0,1E+37,IF((E11)/'2-تحديد الحمولات'!B17*('0- المعطيات'!$K$10-2*'2-تحديد الحمولات'!B17)/('0- المعطيات'!$K$10-'2-تحديد الحمولات'!B17)/1000&gt;1,1,(E11)/'2-تحديد الحمولات'!B17*('0- المعطيات'!$K$10-2*'2-تحديد الحمولات'!B17)/('0- المعطيات'!$K$10-'2-تحديد الحمولات'!B17)/1000))</f>
        <v>0.13067218771566597</v>
      </c>
      <c r="I11" s="82">
        <f>IF((0.16*('0- المعطيات'!$I$23*10)^0.5+50*H11)/10&gt;1.25*('0- المعطيات'!$I$23*10)^0.5/10,1.25*('0- المعطيات'!$I$23*10)^0.5/10,IF((0.16*('0- المعطيات'!$I$23*10)^0.5+50*H11)/10&lt;0.55*('0- المعطيات'!$I$23*10)^0.5/10,0.55*('0- المعطيات'!$I$23*10)^0.5/10,(0.16*('0- المعطيات'!$I$23*10)^0.5+50*H11)/10))</f>
        <v>1.0289557813628341</v>
      </c>
      <c r="J11" s="82" t="str">
        <f>IF(G11-I11&gt;2*('0- المعطيات'!$I$23)^0.5,"يجب تكبير ابعاد المقطع",IF(G11&lt;=I11,"نحتاج تسليح قص انشائي","نحتاج تسليح قص حسابي"))</f>
        <v>نحتاج تسليح قص حسابي</v>
      </c>
      <c r="K11" s="255">
        <f>IF(G11-I11&gt;2*('0- المعطيات'!$I$23)^0.5,"يجب تكبير ابعاد المقطع",IF(G11&lt;=I11,0.35*F11*$G$20/L11*10/2/'0- المعطيات'!$I$46,(-I11+G11)*F11*$G$20/L11*10/2/'0- المعطيات'!$I$46))</f>
        <v>20.359663196513388</v>
      </c>
      <c r="L11" s="268">
        <f>1</f>
        <v>1</v>
      </c>
      <c r="M11" s="268">
        <f t="shared" si="0"/>
        <v>6</v>
      </c>
    </row>
    <row r="12" spans="1:13" x14ac:dyDescent="0.25">
      <c r="A12" s="102">
        <f t="shared" si="1"/>
        <v>0.3150730957279142</v>
      </c>
      <c r="B12" s="267">
        <f>'1- تحديد الأبعاد الأولية'!B28</f>
        <v>9</v>
      </c>
      <c r="C12" s="82">
        <f>'1- تحديد الأبعاد الأولية'!C28</f>
        <v>9</v>
      </c>
      <c r="D12" s="82">
        <f>('2-تحديد الحمولات'!$B$3+'2-تحديد الحمولات'!$B$4+'2-تحديد الحمولات'!$B$5)*'0- المعطيات'!$K$10/2-('2-تحديد الحمولات'!$B$3+'2-تحديد الحمولات'!$B$4+'2-تحديد الحمولات'!$B$5)*'2-تحديد الحمولات'!B18</f>
        <v>585.7734375</v>
      </c>
      <c r="E12" s="82">
        <f>IF('1- تحديد الأبعاد الأولية'!D28-'3- مسار الكابل'!C19&gt;'1- تحديد الأبعاد الأولية'!D28*0.8,'1- تحديد الأبعاد الأولية'!D28*1000-'3- مسار الكابل'!C19*1000,'1- تحديد الأبعاد الأولية'!D28*0.8*1000)</f>
        <v>1239.9999999999998</v>
      </c>
      <c r="F12" s="82">
        <f>'1- تحديد الأبعاد الأولية'!G28*1000</f>
        <v>400</v>
      </c>
      <c r="G12" s="82">
        <f t="shared" si="2"/>
        <v>1.3894056866698294</v>
      </c>
      <c r="H12" s="82">
        <f>IF('2-تحديد الحمولات'!B18=0,1E+37,IF((E12)/'2-تحديد الحمولات'!B18*('0- المعطيات'!$K$10-2*'2-تحديد الحمولات'!B18)/('0- المعطيات'!$K$10-'2-تحديد الحمولات'!B18)/1000&gt;1,1,(E12)/'2-تحديد الحمولات'!B18*('0- المعطيات'!$K$10-2*'2-تحديد الحمولات'!B18)/('0- المعطيات'!$K$10-'2-تحديد الحمولات'!B18)/1000))</f>
        <v>0.15499999999999997</v>
      </c>
      <c r="I12" s="82">
        <f>IF((0.16*('0- المعطيات'!$I$23*10)^0.5+50*H12)/10&gt;1.25*('0- المعطيات'!$I$23*10)^0.5/10,1.25*('0- المعطيات'!$I$23*10)^0.5/10,IF((0.16*('0- المعطيات'!$I$23*10)^0.5+50*H12)/10&lt;0.55*('0- المعطيات'!$I$23*10)^0.5/10,0.55*('0- المعطيات'!$I$23*10)^0.5/10,(0.16*('0- المعطيات'!$I$23*10)^0.5+50*H12)/10))</f>
        <v>1.0743325909419152</v>
      </c>
      <c r="J12" s="82" t="str">
        <f>IF(G12-I12&gt;2*('0- المعطيات'!$I$23)^0.5,"يجب تكبير ابعاد المقطع",IF(G12&lt;=I12,"نحتاج تسليح قص انشائي","نحتاج تسليح قص حسابي"))</f>
        <v>نحتاج تسليح قص حسابي</v>
      </c>
      <c r="K12" s="255">
        <f>IF(G12-I12&gt;2*('0- المعطيات'!$I$23)^0.5,"يجب تكبير ابعاد المقطع",IF(G12&lt;=I12,0.35*F12*$G$20/L12*10/2/'0- المعطيات'!$I$46,(-I12+G12)*F12*$G$20/L12*10/2/'0- المعطيات'!$I$46))</f>
        <v>47.260964359187128</v>
      </c>
      <c r="L12" s="268">
        <f>1</f>
        <v>1</v>
      </c>
      <c r="M12" s="268">
        <f t="shared" si="0"/>
        <v>8</v>
      </c>
    </row>
    <row r="13" spans="1:13" x14ac:dyDescent="0.25">
      <c r="A13" s="102">
        <f t="shared" si="1"/>
        <v>0.33591097523455571</v>
      </c>
      <c r="B13" s="267">
        <f>'1- تحديد الأبعاد الأولية'!B29</f>
        <v>10</v>
      </c>
      <c r="C13" s="82">
        <f>'1- تحديد الأبعاد الأولية'!C29</f>
        <v>10</v>
      </c>
      <c r="D13" s="82">
        <f>('2-تحديد الحمولات'!$B$3+'2-تحديد الحمولات'!$B$4+'2-تحديد الحمولات'!$B$5)*'0- المعطيات'!$K$10/2-('2-تحديد الحمولات'!$B$3+'2-تحديد الحمولات'!$B$4+'2-تحديد الحمولات'!$B$5)*'2-تحديد الحمولات'!B19</f>
        <v>650.859375</v>
      </c>
      <c r="E13" s="82">
        <f>IF('1- تحديد الأبعاد الأولية'!D29-'3- مسار الكابل'!C20&gt;'1- تحديد الأبعاد الأولية'!D29*0.8,'1- تحديد الأبعاد الأولية'!D29*1000-'3- مسار الكابل'!C20*1000,'1- تحديد الأبعاد الأولية'!D29*0.8*1000)</f>
        <v>1199.9999999999998</v>
      </c>
      <c r="F13" s="82">
        <f>'1- تحديد الأبعاد الأولية'!G29*1000</f>
        <v>400</v>
      </c>
      <c r="G13" s="82">
        <f t="shared" si="2"/>
        <v>1.595243566176471</v>
      </c>
      <c r="H13" s="82">
        <f>IF('2-تحديد الحمولات'!B19=0,1E+37,IF((E13)/'2-تحديد الحمولات'!B19*('0- المعطيات'!$K$10-2*'2-تحديد الحمولات'!B19)/('0- المعطيات'!$K$10-'2-تحديد الحمولات'!B19)/1000&gt;1,1,(E13)/'2-تحديد الحمولات'!B19*('0- المعطيات'!$K$10-2*'2-تحديد الحمولات'!B19)/('0- المعطيات'!$K$10-'2-تحديد الحمولات'!B19)/1000))</f>
        <v>0.19199999999999998</v>
      </c>
      <c r="I13" s="82">
        <f>IF((0.16*('0- المعطيات'!$I$23*10)^0.5+50*H13)/10&gt;1.25*('0- المعطيات'!$I$23*10)^0.5/10,1.25*('0- المعطيات'!$I$23*10)^0.5/10,IF((0.16*('0- المعطيات'!$I$23*10)^0.5+50*H13)/10&lt;0.55*('0- المعطيات'!$I$23*10)^0.5/10,0.55*('0- المعطيات'!$I$23*10)^0.5/10,(0.16*('0- المعطيات'!$I$23*10)^0.5+50*H13)/10))</f>
        <v>1.2593325909419153</v>
      </c>
      <c r="J13" s="82" t="str">
        <f>IF(G13-I13&gt;2*('0- المعطيات'!$I$23)^0.5,"يجب تكبير ابعاد المقطع",IF(G13&lt;=I13,"نحتاج تسليح قص انشائي","نحتاج تسليح قص حسابي"))</f>
        <v>نحتاج تسليح قص حسابي</v>
      </c>
      <c r="K13" s="255">
        <f>IF(G13-I13&gt;2*('0- المعطيات'!$I$23)^0.5,"يجب تكبير ابعاد المقطع",IF(G13&lt;=I13,0.35*F13*$G$20/L13*10/2/'0- المعطيات'!$I$46,(-I13+G13)*F13*$G$20/L13*10/2/'0- المعطيات'!$I$46))</f>
        <v>50.38664628518336</v>
      </c>
      <c r="L13" s="268">
        <f>1</f>
        <v>1</v>
      </c>
      <c r="M13" s="268">
        <f t="shared" si="0"/>
        <v>10</v>
      </c>
    </row>
    <row r="14" spans="1:13" x14ac:dyDescent="0.25">
      <c r="A14" s="102">
        <f t="shared" si="1"/>
        <v>0.28902149364616436</v>
      </c>
      <c r="B14" s="267">
        <f>'1- تحديد الأبعاد الأولية'!B30</f>
        <v>11</v>
      </c>
      <c r="C14" s="82">
        <f>'1- تحديد الأبعاد الأولية'!C30</f>
        <v>11</v>
      </c>
      <c r="D14" s="82">
        <f>('2-تحديد الحمولات'!$B$3+'2-تحديد الحمولات'!$B$4+'2-تحديد الحمولات'!$B$5)*'0- المعطيات'!$K$10/2-('2-تحديد الحمولات'!$B$3+'2-تحديد الحمولات'!$B$4+'2-تحديد الحمولات'!$B$5)*'2-تحديد الحمولات'!B20</f>
        <v>715.9453125</v>
      </c>
      <c r="E14" s="82">
        <f>IF('1- تحديد الأبعاد الأولية'!D30-'3- مسار الكابل'!C21&gt;'1- تحديد الأبعاد الأولية'!D30*0.8,'1- تحديد الأبعاد الأولية'!D30*1000-'3- مسار الكابل'!C21*1000,'1- تحديد الأبعاد الأولية'!D30*0.8*1000)</f>
        <v>1159.9999999999998</v>
      </c>
      <c r="F14" s="82">
        <f>'1- تحديد الأبعاد الأولية'!G30*1000</f>
        <v>400</v>
      </c>
      <c r="G14" s="82">
        <f t="shared" si="2"/>
        <v>1.8152771615111565</v>
      </c>
      <c r="H14" s="82">
        <f>IF('2-تحديد الحمولات'!B20=0,1E+37,IF((E14)/'2-تحديد الحمولات'!B20*('0- المعطيات'!$K$10-2*'2-تحديد الحمولات'!B20)/('0- المعطيات'!$K$10-'2-تحديد الحمولات'!B20)/1000&gt;1,1,(E14)/'2-تحديد الحمولات'!B20*('0- المعطيات'!$K$10-2*'2-تحديد الحمولات'!B20)/('0- المعطيات'!$K$10-'2-تحديد الحمولات'!B20)/1000))</f>
        <v>0.24538461538461537</v>
      </c>
      <c r="I14" s="82">
        <f>IF((0.16*('0- المعطيات'!$I$23*10)^0.5+50*H14)/10&gt;1.25*('0- المعطيات'!$I$23*10)^0.5/10,1.25*('0- المعطيات'!$I$23*10)^0.5/10,IF((0.16*('0- المعطيات'!$I$23*10)^0.5+50*H14)/10&lt;0.55*('0- المعطيات'!$I$23*10)^0.5/10,0.55*('0- المعطيات'!$I$23*10)^0.5/10,(0.16*('0- المعطيات'!$I$23*10)^0.5+50*H14)/10))</f>
        <v>1.5262556678649921</v>
      </c>
      <c r="J14" s="82" t="str">
        <f>IF(G14-I14&gt;2*('0- المعطيات'!$I$23)^0.5,"يجب تكبير ابعاد المقطع",IF(G14&lt;=I14,"نحتاج تسليح قص انشائي","نحتاج تسليح قص حسابي"))</f>
        <v>نحتاج تسليح قص حسابي</v>
      </c>
      <c r="K14" s="255">
        <f>IF(G14-I14&gt;2*('0- المعطيات'!$I$23)^0.5,"يجب تكبير ابعاد المقطع",IF(G14&lt;=I14,0.35*F14*$G$20/L14*10/2/'0- المعطيات'!$I$46,(-I14+G14)*F14*$G$20/L14*10/2/'0- المعطيات'!$I$46))</f>
        <v>43.353224046924652</v>
      </c>
      <c r="L14" s="268">
        <f>1</f>
        <v>1</v>
      </c>
      <c r="M14" s="268">
        <f t="shared" si="0"/>
        <v>8</v>
      </c>
    </row>
    <row r="15" spans="1:13" x14ac:dyDescent="0.25">
      <c r="A15" s="102">
        <f t="shared" si="1"/>
        <v>-0.10605093464140181</v>
      </c>
      <c r="B15" s="267">
        <f>'1- تحديد الأبعاد الأولية'!B31</f>
        <v>12</v>
      </c>
      <c r="C15" s="82">
        <f>'1- تحديد الأبعاد الأولية'!C31</f>
        <v>12</v>
      </c>
      <c r="D15" s="82">
        <f>('2-تحديد الحمولات'!$B$3+'2-تحديد الحمولات'!$B$4+'2-تحديد الحمولات'!$B$5)*'0- المعطيات'!$K$10/2-('2-تحديد الحمولات'!$B$3+'2-تحديد الحمولات'!$B$4+'2-تحديد الحمولات'!$B$5)*'2-تحديد الحمولات'!B21</f>
        <v>781.03125</v>
      </c>
      <c r="E15" s="82">
        <f>IF('1- تحديد الأبعاد الأولية'!D31-'3- مسار الكابل'!C22&gt;'1- تحديد الأبعاد الأولية'!D31*0.8,'1- تحديد الأبعاد الأولية'!D31*1000-'3- مسار الكابل'!C22*1000,'1- تحديد الأبعاد الأولية'!D31*0.8*1000)</f>
        <v>1119.9999999999998</v>
      </c>
      <c r="F15" s="82">
        <f>'1- تحديد الأبعاد الأولية'!G31*1000</f>
        <v>442.85714285714295</v>
      </c>
      <c r="G15" s="82">
        <f t="shared" si="2"/>
        <v>1.8525409155597723</v>
      </c>
      <c r="H15" s="82">
        <f>IF('2-تحديد الحمولات'!B21=0,1E+37,IF((E15)/'2-تحديد الحمولات'!B21*('0- المعطيات'!$K$10-2*'2-تحديد الحمولات'!B21)/('0- المعطيات'!$K$10-'2-تحديد الحمولات'!B21)/1000&gt;1,1,(E15)/'2-تحديد الحمولات'!B21*('0- المعطيات'!$K$10-2*'2-تحديد الحمولات'!B21)/('0- المعطيات'!$K$10-'2-تحديد الحمولات'!B21)/1000))</f>
        <v>0.33185185185185179</v>
      </c>
      <c r="I15" s="82">
        <f>IF((0.16*('0- المعطيات'!$I$23*10)^0.5+50*H15)/10&gt;1.25*('0- المعطيات'!$I$23*10)^0.5/10,1.25*('0- المعطيات'!$I$23*10)^0.5/10,IF((0.16*('0- المعطيات'!$I$23*10)^0.5+50*H15)/10&lt;0.55*('0- المعطيات'!$I$23*10)^0.5/10,0.55*('0- المعطيات'!$I$23*10)^0.5/10,(0.16*('0- المعطيات'!$I$23*10)^0.5+50*H15)/10))</f>
        <v>1.9585918502011741</v>
      </c>
      <c r="J15" s="82" t="str">
        <f>IF(G15-I15&gt;2*('0- المعطيات'!$I$23)^0.5,"يجب تكبير ابعاد المقطع",IF(G15&lt;=I15,"نحتاج تسليح قص انشائي","نحتاج تسليح قص حسابي"))</f>
        <v>نحتاج تسليح قص انشائي</v>
      </c>
      <c r="K15" s="255">
        <f>IF(G15-I15&gt;2*('0- المعطيات'!$I$23)^0.5,"يجب تكبير ابعاد المقطع",IF(G15&lt;=I15,0.35*F15*$G$20/L15*10/2/'0- المعطيات'!$I$46,(-I15+G15)*F15*$G$20/L15*10/2/'0- المعطيات'!$I$46))</f>
        <v>58.125000000000007</v>
      </c>
      <c r="L15" s="268">
        <f>1</f>
        <v>1</v>
      </c>
      <c r="M15" s="268">
        <f t="shared" si="0"/>
        <v>10</v>
      </c>
    </row>
    <row r="16" spans="1:13" x14ac:dyDescent="0.25">
      <c r="A16" s="102">
        <f t="shared" si="1"/>
        <v>-0.54634865041199898</v>
      </c>
      <c r="B16" s="267">
        <f>'1- تحديد الأبعاد الأولية'!B32</f>
        <v>13</v>
      </c>
      <c r="C16" s="82">
        <f>'1- تحديد الأبعاد الأولية'!C32</f>
        <v>13</v>
      </c>
      <c r="D16" s="82">
        <f>('2-تحديد الحمولات'!$B$3+'2-تحديد الحمولات'!$B$4+'2-تحديد الحمولات'!$B$5)*'0- المعطيات'!$K$10/2-('2-تحديد الحمولات'!$B$3+'2-تحديد الحمولات'!$B$4+'2-تحديد الحمولات'!$B$5)*'2-تحديد الحمولات'!B22</f>
        <v>846.1171875</v>
      </c>
      <c r="E16" s="82">
        <f>IF('1- تحديد الأبعاد الأولية'!D32-'3- مسار الكابل'!C23&gt;'1- تحديد الأبعاد الأولية'!D32*0.8,'1- تحديد الأبعاد الأولية'!D32*1000-'3- مسار الكابل'!C23*1000,'1- تحديد الأبعاد الأولية'!D32*0.8*1000)</f>
        <v>1079.9999999999995</v>
      </c>
      <c r="F16" s="82">
        <f>'1- تحديد الأبعاد الأولية'!G32*1000</f>
        <v>514.28571428571433</v>
      </c>
      <c r="G16" s="82">
        <f t="shared" si="2"/>
        <v>1.7921872163217145</v>
      </c>
      <c r="H16" s="82">
        <f>IF('2-تحديد الحمولات'!B22=0,1E+37,IF((E16)/'2-تحديد الحمولات'!B22*('0- المعطيات'!$K$10-2*'2-تحديد الحمولات'!B22)/('0- المعطيات'!$K$10-'2-تحديد الحمولات'!B22)/1000&gt;1,1,(E16)/'2-تحديد الحمولات'!B22*('0- المعطيات'!$K$10-2*'2-تحديد الحمولات'!B22)/('0- المعطيات'!$K$10-'2-تحديد الحمولات'!B22)/1000))</f>
        <v>0.50142857142857122</v>
      </c>
      <c r="I16" s="82">
        <f>IF((0.16*('0- المعطيات'!$I$23*10)^0.5+50*H16)/10&gt;1.25*('0- المعطيات'!$I$23*10)^0.5/10,1.25*('0- المعطيات'!$I$23*10)^0.5/10,IF((0.16*('0- المعطيات'!$I$23*10)^0.5+50*H16)/10&lt;0.55*('0- المعطيات'!$I$23*10)^0.5/10,0.55*('0- المعطيات'!$I$23*10)^0.5/10,(0.16*('0- المعطيات'!$I$23*10)^0.5+50*H16)/10))</f>
        <v>2.3385358667337135</v>
      </c>
      <c r="J16" s="82" t="str">
        <f>IF(G16-I16&gt;2*('0- المعطيات'!$I$23)^0.5,"يجب تكبير ابعاد المقطع",IF(G16&lt;=I16,"نحتاج تسليح قص انشائي","نحتاج تسليح قص حسابي"))</f>
        <v>نحتاج تسليح قص انشائي</v>
      </c>
      <c r="K16" s="255">
        <f>IF(G16-I16&gt;2*('0- المعطيات'!$I$23)^0.5,"يجب تكبير ابعاد المقطع",IF(G16&lt;=I16,0.35*F16*$G$20/L16*10/2/'0- المعطيات'!$I$46,(-I16+G16)*F16*$G$20/L16*10/2/'0- المعطيات'!$I$46))</f>
        <v>33.75</v>
      </c>
      <c r="L16" s="268">
        <v>2</v>
      </c>
      <c r="M16" s="268">
        <f t="shared" si="0"/>
        <v>8</v>
      </c>
    </row>
    <row r="17" spans="1:13" x14ac:dyDescent="0.25">
      <c r="A17" s="102">
        <f t="shared" si="1"/>
        <v>-0.57867992506060895</v>
      </c>
      <c r="B17" s="267">
        <f>'1- تحديد الأبعاد الأولية'!B33</f>
        <v>14</v>
      </c>
      <c r="C17" s="82">
        <f>'1- تحديد الأبعاد الأولية'!C33</f>
        <v>14</v>
      </c>
      <c r="D17" s="82">
        <f>('2-تحديد الحمولات'!$B$3+'2-تحديد الحمولات'!$B$4+'2-تحديد الحمولات'!$B$5)*'0- المعطيات'!$K$10/2-('2-تحديد الحمولات'!$B$3+'2-تحديد الحمولات'!$B$4+'2-تحديد الحمولات'!$B$5)*'2-تحديد الحمولات'!B23</f>
        <v>911.203125</v>
      </c>
      <c r="E17" s="82">
        <f>IF('1- تحديد الأبعاد الأولية'!D33-'3- مسار الكابل'!C24&gt;'1- تحديد الأبعاد الأولية'!D33*0.8,'1- تحديد الأبعاد الأولية'!D33*1000-'3- مسار الكابل'!C24*1000,'1- تحديد الأبعاد الأولية'!D33*0.8*1000)</f>
        <v>1039.9999999999995</v>
      </c>
      <c r="F17" s="82">
        <f>'1- تحديد الأبعاد الأولية'!G33*1000</f>
        <v>585.71428571428589</v>
      </c>
      <c r="G17" s="82">
        <f t="shared" si="2"/>
        <v>1.7598559416731046</v>
      </c>
      <c r="H17" s="82">
        <f>IF('2-تحديد الحمولات'!B23=0,1E+37,IF((E17)/'2-تحديد الحمولات'!B23*('0- المعطيات'!$K$10-2*'2-تحديد الحمولات'!B23)/('0- المعطيات'!$K$10-'2-تحديد الحمولات'!B23)/1000&gt;1,1,(E17)/'2-تحديد الحمولات'!B23*('0- المعطيات'!$K$10-2*'2-تحديد الحمولات'!B23)/('0- المعطيات'!$K$10-'2-تحديد الحمولات'!B23)/1000))</f>
        <v>1</v>
      </c>
      <c r="I17" s="82">
        <f>IF((0.16*('0- المعطيات'!$I$23*10)^0.5+50*H17)/10&gt;1.25*('0- المعطيات'!$I$23*10)^0.5/10,1.25*('0- المعطيات'!$I$23*10)^0.5/10,IF((0.16*('0- المعطيات'!$I$23*10)^0.5+50*H17)/10&lt;0.55*('0- المعطيات'!$I$23*10)^0.5/10,0.55*('0- المعطيات'!$I$23*10)^0.5/10,(0.16*('0- المعطيات'!$I$23*10)^0.5+50*H17)/10))</f>
        <v>2.3385358667337135</v>
      </c>
      <c r="J17" s="82" t="str">
        <f>IF(G17-I17&gt;2*('0- المعطيات'!$I$23)^0.5,"يجب تكبير ابعاد المقطع",IF(G17&lt;=I17,"نحتاج تسليح قص انشائي","نحتاج تسليح قص حسابي"))</f>
        <v>نحتاج تسليح قص انشائي</v>
      </c>
      <c r="K17" s="255">
        <f>IF(G17-I17&gt;2*('0- المعطيات'!$I$23)^0.5,"يجب تكبير ابعاد المقطع",IF(G17&lt;=I17,0.35*F17*$G$20/L17*10/2/'0- المعطيات'!$I$46,(-I17+G17)*F17*$G$20/L17*10/2/'0- المعطيات'!$I$46))</f>
        <v>38.437500000000007</v>
      </c>
      <c r="L17" s="268">
        <v>2</v>
      </c>
      <c r="M17" s="268">
        <f t="shared" si="0"/>
        <v>8</v>
      </c>
    </row>
    <row r="18" spans="1:13" ht="21" thickBot="1" x14ac:dyDescent="0.3">
      <c r="A18" s="102">
        <f t="shared" si="1"/>
        <v>-0.42424358732194789</v>
      </c>
      <c r="B18" s="269">
        <f>'1- تحديد الأبعاد الأولية'!B34</f>
        <v>15</v>
      </c>
      <c r="C18" s="270">
        <f>'1- تحديد الأبعاد الأولية'!C34</f>
        <v>15</v>
      </c>
      <c r="D18" s="270">
        <f>('2-تحديد الحمولات'!$B$3+'2-تحديد الحمولات'!$B$4+'2-تحديد الحمولات'!$B$5)*'0- المعطيات'!$K$10/2-('2-تحديد الحمولات'!$B$3+'2-تحديد الحمولات'!$B$4+'2-تحديد الحمولات'!$B$5)*'2-تحديد الحمولات'!B24</f>
        <v>976.2890625</v>
      </c>
      <c r="E18" s="270">
        <f>IF('1- تحديد الأبعاد الأولية'!D34-'3- مسار الكابل'!C25&gt;'1- تحديد الأبعاد الأولية'!D34*0.8,'1- تحديد الأبعاد الأولية'!D34*1000-'3- مسار الكابل'!C25*1000,'1- تحديد الأبعاد الأولية'!D34*0.8*1000)</f>
        <v>999.99999999999955</v>
      </c>
      <c r="F18" s="270">
        <f>'1- تحديد الأبعاد الأولية'!G34*1000</f>
        <v>600</v>
      </c>
      <c r="G18" s="270">
        <f>D18/E18/F18/0.85*1000</f>
        <v>1.9142922794117656</v>
      </c>
      <c r="H18" s="270">
        <f>IF('2-تحديد الحمولات'!B24=0,1E+37,IF((E18)/'2-تحديد الحمولات'!B24*('0- المعطيات'!$K$10-2*'2-تحديد الحمولات'!B24)/('0- المعطيات'!$K$10-'2-تحديد الحمولات'!B24)/1000&gt;1,1,(E18)/'2-تحديد الحمولات'!B24*('0- المعطيات'!$K$10-2*'2-تحديد الحمولات'!B24)/('0- المعطيات'!$K$10-'2-تحديد الحمولات'!B24)/1000))</f>
        <v>9.9999999999999995E+36</v>
      </c>
      <c r="I18" s="270">
        <f>IF((0.16*('0- المعطيات'!$I$23*10)^0.5+50*H18)/10&gt;1.25*('0- المعطيات'!$I$23*10)^0.5/10,1.25*('0- المعطيات'!$I$23*10)^0.5/10,IF((0.16*('0- المعطيات'!$I$23*10)^0.5+50*H18)/10&lt;0.55*('0- المعطيات'!$I$23*10)^0.5/10,0.55*('0- المعطيات'!$I$23*10)^0.5/10,(0.16*('0- المعطيات'!$I$23*10)^0.5+50*H18)/10))</f>
        <v>2.3385358667337135</v>
      </c>
      <c r="J18" s="270" t="str">
        <f>IF(G18-I18&gt;2*('0- المعطيات'!$I$23)^0.5,"يجب تكبير ابعاد المقطع",IF(G18&lt;=I18,"نحتاج تسليح قص انشائي","نحتاج تسليح قص حسابي"))</f>
        <v>نحتاج تسليح قص انشائي</v>
      </c>
      <c r="K18" s="255">
        <f>IF(G18-I18&gt;2*('0- المعطيات'!$I$23)^0.5,"يجب تكبير ابعاد المقطع",IF(G18&lt;=I18,0.35*F18*$G$20/L18*10/2/'0- المعطيات'!$I$46,(-I18+G18)*F18*$G$20/L18*10/2/'0- المعطيات'!$I$46))</f>
        <v>39.375</v>
      </c>
      <c r="L18" s="268">
        <v>2</v>
      </c>
      <c r="M18" s="271">
        <f t="shared" si="0"/>
        <v>8</v>
      </c>
    </row>
    <row r="19" spans="1:13" ht="21" thickBot="1" x14ac:dyDescent="0.3"/>
    <row r="20" spans="1:13" ht="21" thickBot="1" x14ac:dyDescent="0.3">
      <c r="B20" s="266" t="s">
        <v>357</v>
      </c>
      <c r="C20" s="180">
        <f>VLOOKUP(MAX(A3:A18),A3:B18,2,FALSE)</f>
        <v>10</v>
      </c>
      <c r="F20" s="254" t="s">
        <v>369</v>
      </c>
      <c r="G20" s="36">
        <v>30</v>
      </c>
    </row>
  </sheetData>
  <mergeCells count="1">
    <mergeCell ref="B1:M1"/>
  </mergeCells>
  <printOptions horizontalCentered="1" verticalCentered="1"/>
  <pageMargins left="0.7" right="0.7" top="0.75" bottom="0.75" header="0.3" footer="0.3"/>
  <pageSetup paperSize="9" scale="8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3</vt:i4>
      </vt:variant>
    </vt:vector>
  </HeadingPairs>
  <TitlesOfParts>
    <vt:vector size="21" baseType="lpstr">
      <vt:lpstr>0- المعطيات</vt:lpstr>
      <vt:lpstr>مواصفات المماسك</vt:lpstr>
      <vt:lpstr>1- تحديد الأبعاد الأولية</vt:lpstr>
      <vt:lpstr>2-تحديد الحمولات</vt:lpstr>
      <vt:lpstr>3- مسار الكابل</vt:lpstr>
      <vt:lpstr>4 - حساب قوة سبق الاجهاد</vt:lpstr>
      <vt:lpstr>4- تحقيق الاجهادات الناظمية</vt:lpstr>
      <vt:lpstr>5-تحقيق العزم في مرحلة الانكسار</vt:lpstr>
      <vt:lpstr>6-تحقيق القص في مرحلة انكسار</vt:lpstr>
      <vt:lpstr>7-الخواص الهندسية الصافية</vt:lpstr>
      <vt:lpstr>7-الحمولات الجديدة</vt:lpstr>
      <vt:lpstr>7-تحقيق الاجهادات في تنفيذ</vt:lpstr>
      <vt:lpstr>7-تحقيق الاحهادات في الاستثمار</vt:lpstr>
      <vt:lpstr>9-حساب الضياعات في مقطع الحرج</vt:lpstr>
      <vt:lpstr>9-حساب الضياعات في وسط المجاز</vt:lpstr>
      <vt:lpstr>الجداول</vt:lpstr>
      <vt:lpstr>10- التسليح الإضافي عند المماسك</vt:lpstr>
      <vt:lpstr>11- حساب تمدد الكابلات</vt:lpstr>
      <vt:lpstr>'9-حساب الضياعات في مقطع الحرج'!OLE_LINK63</vt:lpstr>
      <vt:lpstr>'0- المعطيات'!Print_Area</vt:lpstr>
      <vt:lpstr>ش19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</dc:creator>
  <cp:lastModifiedBy>Chantal</cp:lastModifiedBy>
  <cp:lastPrinted>2012-05-16T11:20:00Z</cp:lastPrinted>
  <dcterms:created xsi:type="dcterms:W3CDTF">2012-04-04T19:23:00Z</dcterms:created>
  <dcterms:modified xsi:type="dcterms:W3CDTF">2013-03-25T21:55:10Z</dcterms:modified>
  <cp:contentStatus/>
</cp:coreProperties>
</file>